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4855" windowHeight="11760"/>
  </bookViews>
  <sheets>
    <sheet name="Sheet1" sheetId="1" r:id="rId1"/>
    <sheet name="Sheet2" sheetId="2" r:id="rId2"/>
    <sheet name="Sheet3" sheetId="3" r:id="rId3"/>
  </sheets>
  <externalReferences>
    <externalReference r:id="rId4"/>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25725"/>
</workbook>
</file>

<file path=xl/calcChain.xml><?xml version="1.0" encoding="utf-8"?>
<calcChain xmlns="http://schemas.openxmlformats.org/spreadsheetml/2006/main">
  <c r="K63" i="1"/>
  <c r="H63"/>
  <c r="G63"/>
  <c r="A57"/>
  <c r="N55"/>
  <c r="N56" s="1"/>
  <c r="O55" s="1"/>
  <c r="M51"/>
  <c r="A51"/>
  <c r="M50"/>
  <c r="A50"/>
  <c r="P49"/>
  <c r="O49"/>
  <c r="N49"/>
  <c r="M49"/>
  <c r="A49"/>
  <c r="N46"/>
  <c r="N52" s="1"/>
  <c r="K46"/>
  <c r="K52" s="1"/>
  <c r="J46"/>
  <c r="J52" s="1"/>
  <c r="I46"/>
  <c r="I63" s="1"/>
  <c r="H46"/>
  <c r="H52" s="1"/>
  <c r="G46"/>
  <c r="G52" s="1"/>
  <c r="F46"/>
  <c r="F52" s="1"/>
  <c r="E46"/>
  <c r="E63" s="1"/>
  <c r="D46"/>
  <c r="D52" s="1"/>
  <c r="C46"/>
  <c r="C52" s="1"/>
  <c r="B46"/>
  <c r="B52" s="1"/>
  <c r="P45"/>
  <c r="P46" s="1"/>
  <c r="O45"/>
  <c r="O46" s="1"/>
  <c r="N45"/>
  <c r="M45"/>
  <c r="M44"/>
  <c r="M43"/>
  <c r="M42"/>
  <c r="M41"/>
  <c r="M40"/>
  <c r="L40"/>
  <c r="L46" s="1"/>
  <c r="M39"/>
  <c r="M38"/>
  <c r="M37"/>
  <c r="M46" s="1"/>
  <c r="M36"/>
  <c r="M32"/>
  <c r="A32"/>
  <c r="M31"/>
  <c r="A31"/>
  <c r="M30"/>
  <c r="A30"/>
  <c r="M29"/>
  <c r="A29"/>
  <c r="M28"/>
  <c r="A28"/>
  <c r="M27"/>
  <c r="A27"/>
  <c r="M26"/>
  <c r="A26"/>
  <c r="M25"/>
  <c r="A25"/>
  <c r="M24"/>
  <c r="P21"/>
  <c r="P33" s="1"/>
  <c r="O21"/>
  <c r="O33" s="1"/>
  <c r="N21"/>
  <c r="N33" s="1"/>
  <c r="N54" s="1"/>
  <c r="N64" s="1"/>
  <c r="L21"/>
  <c r="L33" s="1"/>
  <c r="K21"/>
  <c r="K33" s="1"/>
  <c r="I21"/>
  <c r="I33" s="1"/>
  <c r="H21"/>
  <c r="H33" s="1"/>
  <c r="H54" s="1"/>
  <c r="H64" s="1"/>
  <c r="G21"/>
  <c r="G33" s="1"/>
  <c r="G54" s="1"/>
  <c r="G64" s="1"/>
  <c r="F21"/>
  <c r="F33" s="1"/>
  <c r="F54" s="1"/>
  <c r="F64" s="1"/>
  <c r="E21"/>
  <c r="E33" s="1"/>
  <c r="D21"/>
  <c r="D33" s="1"/>
  <c r="D54" s="1"/>
  <c r="C21"/>
  <c r="C33" s="1"/>
  <c r="C54" s="1"/>
  <c r="B21"/>
  <c r="B33" s="1"/>
  <c r="B54" s="1"/>
  <c r="B56" s="1"/>
  <c r="C55" s="1"/>
  <c r="M20"/>
  <c r="A20"/>
  <c r="J19"/>
  <c r="M19" s="1"/>
  <c r="M18"/>
  <c r="A18"/>
  <c r="M17"/>
  <c r="A17"/>
  <c r="M16"/>
  <c r="A16"/>
  <c r="M15"/>
  <c r="A15"/>
  <c r="M14"/>
  <c r="A14"/>
  <c r="M13"/>
  <c r="A13"/>
  <c r="M12"/>
  <c r="A12"/>
  <c r="M11"/>
  <c r="A11"/>
  <c r="M10"/>
  <c r="A10"/>
  <c r="M9"/>
  <c r="A9"/>
  <c r="M8"/>
  <c r="A8"/>
  <c r="M7"/>
  <c r="A7"/>
  <c r="M6"/>
  <c r="A6"/>
  <c r="M5"/>
  <c r="A5"/>
  <c r="P3"/>
  <c r="O3"/>
  <c r="N3"/>
  <c r="B2"/>
  <c r="A1"/>
  <c r="M63" l="1"/>
  <c r="M52"/>
  <c r="P52"/>
  <c r="P63"/>
  <c r="L63"/>
  <c r="L52"/>
  <c r="O52"/>
  <c r="O63"/>
  <c r="L54"/>
  <c r="L64" s="1"/>
  <c r="M21"/>
  <c r="M33" s="1"/>
  <c r="M54" s="1"/>
  <c r="M64" s="1"/>
  <c r="C56"/>
  <c r="D55" s="1"/>
  <c r="D56" s="1"/>
  <c r="E55" s="1"/>
  <c r="K54"/>
  <c r="K64" s="1"/>
  <c r="P54"/>
  <c r="P64" s="1"/>
  <c r="I54"/>
  <c r="I64" s="1"/>
  <c r="O54"/>
  <c r="O64" s="1"/>
  <c r="J21"/>
  <c r="J33" s="1"/>
  <c r="J54" s="1"/>
  <c r="J64" s="1"/>
  <c r="E52"/>
  <c r="E54" s="1"/>
  <c r="E64" s="1"/>
  <c r="F63"/>
  <c r="J63"/>
  <c r="N63"/>
  <c r="I52"/>
  <c r="E56" l="1"/>
  <c r="F55" s="1"/>
  <c r="F56" s="1"/>
  <c r="G55" s="1"/>
  <c r="G56" s="1"/>
  <c r="H55" s="1"/>
  <c r="H56" s="1"/>
  <c r="I55" s="1"/>
  <c r="I56" s="1"/>
  <c r="J55" s="1"/>
  <c r="J56" s="1"/>
  <c r="K55" s="1"/>
  <c r="K56" s="1"/>
  <c r="L55" s="1"/>
  <c r="L56" s="1"/>
  <c r="M55" s="1"/>
  <c r="M56" s="1"/>
  <c r="O56"/>
  <c r="P55" s="1"/>
  <c r="P56" s="1"/>
</calcChain>
</file>

<file path=xl/sharedStrings.xml><?xml version="1.0" encoding="utf-8"?>
<sst xmlns="http://schemas.openxmlformats.org/spreadsheetml/2006/main" count="42" uniqueCount="40">
  <si>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</si>
  <si>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</si>
  <si>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</si>
  <si>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</si>
  <si>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</si>
  <si>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</si>
  <si>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</si>
  <si>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</si>
  <si>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</si>
  <si>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</si>
  <si>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</si>
  <si>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</si>
  <si>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</si>
  <si>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</si>
  <si>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</si>
  <si>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</si>
  <si>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</si>
  <si>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</si>
  <si>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</si>
  <si>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</si>
  <si>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 xml:space="preserve"> -   </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</si>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</sst>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numFmts count="4">
    <numFmt numFmtId="43" formatCode="_ * #,##0.00_ ;_ * \-#,##0.00_ ;_ * &quot;-&quot;??_ ;_ @_ "/>
    <numFmt numFmtId="164" formatCode="_(* #,##0,_);_(* \(#,##0,\);_(* &quot;–&quot;?_);_(@_)"/>
    <numFmt numFmtId="165" formatCode="#,###,;\(#,###,\)"/>
    <numFmt numFmtId="166" formatCode="_ * #,##0_ ;_ * \-#,##0_ ;_ * &quot;-&quot;??_ ;_ @_ "/>
  </numFmts>
  <fonts count="8">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0" xfId="0" applyNumberFormat="1" applyFont="1" applyBorder="1"/>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3" fillId="0" borderId="11" xfId="0" applyNumberFormat="1" applyFont="1" applyBorder="1" applyAlignment="1">
      <alignment horizontal="center"/>
    </xf>
    <xf numFmtId="0" fontId="3" fillId="0" borderId="0" xfId="0" applyFont="1" applyFill="1"/>
    <xf numFmtId="0" fontId="3" fillId="0" borderId="10" xfId="0" applyNumberFormat="1" applyFont="1" applyBorder="1" applyAlignment="1">
      <alignment horizontal="left" indent="1"/>
    </xf>
    <xf numFmtId="164" fontId="3" fillId="2" borderId="10" xfId="0" applyNumberFormat="1" applyFont="1" applyFill="1" applyBorder="1" applyProtection="1">
      <protection locked="0"/>
    </xf>
    <xf numFmtId="164" fontId="3" fillId="2" borderId="14" xfId="0" applyNumberFormat="1" applyFont="1" applyFill="1" applyBorder="1" applyProtection="1">
      <protection locked="0"/>
    </xf>
    <xf numFmtId="164" fontId="3" fillId="0" borderId="15" xfId="0" applyNumberFormat="1" applyFont="1" applyBorder="1"/>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2" borderId="0" xfId="0" applyNumberFormat="1" applyFont="1" applyFill="1" applyBorder="1" applyProtection="1">
      <protection locked="0"/>
    </xf>
    <xf numFmtId="0" fontId="3" fillId="0" borderId="10" xfId="0" applyFont="1" applyBorder="1" applyAlignment="1">
      <alignment horizontal="left" indent="1"/>
    </xf>
    <xf numFmtId="0" fontId="4" fillId="0" borderId="10" xfId="0" applyNumberFormat="1" applyFont="1" applyFill="1" applyBorder="1"/>
    <xf numFmtId="164" fontId="4" fillId="0" borderId="18" xfId="0" applyNumberFormat="1" applyFont="1" applyFill="1" applyBorder="1"/>
    <xf numFmtId="164" fontId="4" fillId="0" borderId="19"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0" fontId="3" fillId="0" borderId="10" xfId="0" applyNumberFormat="1" applyFont="1" applyFill="1" applyBorder="1"/>
    <xf numFmtId="164" fontId="3" fillId="0" borderId="10" xfId="0" applyNumberFormat="1" applyFont="1" applyFill="1" applyBorder="1"/>
    <xf numFmtId="164" fontId="3" fillId="0" borderId="14" xfId="0" applyNumberFormat="1" applyFont="1" applyFill="1" applyBorder="1"/>
    <xf numFmtId="164" fontId="3" fillId="0" borderId="15" xfId="0" applyNumberFormat="1" applyFont="1" applyFill="1" applyBorder="1"/>
    <xf numFmtId="164" fontId="3" fillId="0" borderId="16" xfId="0" applyNumberFormat="1" applyFont="1" applyFill="1" applyBorder="1"/>
    <xf numFmtId="164" fontId="3" fillId="0" borderId="17" xfId="0" applyNumberFormat="1" applyFont="1" applyFill="1" applyBorder="1"/>
    <xf numFmtId="0" fontId="4" fillId="0" borderId="10" xfId="0" applyNumberFormat="1" applyFont="1" applyFill="1" applyBorder="1" applyAlignment="1">
      <alignment horizontal="left"/>
    </xf>
    <xf numFmtId="0" fontId="3" fillId="0" borderId="10" xfId="0" applyFont="1" applyFill="1" applyBorder="1" applyAlignment="1">
      <alignment horizontal="left" indent="1"/>
    </xf>
    <xf numFmtId="0" fontId="3" fillId="0" borderId="10" xfId="0" applyNumberFormat="1" applyFont="1" applyFill="1" applyBorder="1" applyAlignment="1">
      <alignment horizontal="left" indent="1"/>
    </xf>
    <xf numFmtId="0" fontId="4" fillId="0" borderId="23" xfId="0" applyNumberFormat="1" applyFont="1" applyFill="1" applyBorder="1"/>
    <xf numFmtId="164" fontId="4" fillId="0" borderId="23" xfId="0" applyNumberFormat="1" applyFont="1" applyFill="1" applyBorder="1"/>
    <xf numFmtId="164"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0" fontId="3" fillId="0" borderId="10" xfId="0" applyNumberFormat="1" applyFont="1" applyFill="1" applyBorder="1" applyAlignment="1"/>
    <xf numFmtId="0" fontId="5" fillId="0" borderId="10" xfId="0" applyNumberFormat="1" applyFont="1" applyFill="1" applyBorder="1"/>
    <xf numFmtId="164" fontId="3" fillId="0" borderId="16"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8" xfId="0" applyNumberFormat="1" applyFont="1" applyFill="1" applyBorder="1" applyAlignment="1">
      <alignment vertical="center" wrapText="1"/>
    </xf>
    <xf numFmtId="164" fontId="4" fillId="0" borderId="28" xfId="0" applyNumberFormat="1" applyFont="1" applyFill="1" applyBorder="1" applyAlignment="1">
      <alignment vertical="center"/>
    </xf>
    <xf numFmtId="164" fontId="4" fillId="0" borderId="29" xfId="0" applyNumberFormat="1" applyFont="1" applyFill="1" applyBorder="1" applyAlignment="1">
      <alignment vertical="center"/>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5"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18" xfId="0" applyNumberFormat="1" applyFont="1" applyFill="1" applyBorder="1" applyProtection="1">
      <protection locked="0"/>
    </xf>
    <xf numFmtId="164" fontId="3" fillId="0" borderId="19" xfId="0" applyNumberFormat="1" applyFont="1" applyFill="1" applyBorder="1"/>
    <xf numFmtId="164" fontId="3" fillId="0" borderId="20" xfId="0" applyNumberFormat="1" applyFont="1" applyFill="1" applyBorder="1"/>
    <xf numFmtId="164" fontId="3" fillId="0" borderId="21" xfId="0" applyNumberFormat="1" applyFont="1" applyFill="1" applyBorder="1"/>
    <xf numFmtId="164" fontId="3" fillId="0" borderId="22" xfId="0" applyNumberFormat="1" applyFont="1" applyFill="1" applyBorder="1"/>
    <xf numFmtId="0" fontId="3" fillId="0" borderId="36" xfId="0" applyNumberFormat="1" applyFont="1" applyFill="1" applyBorder="1"/>
    <xf numFmtId="164" fontId="3" fillId="0" borderId="6" xfId="0" applyNumberFormat="1" applyFont="1" applyFill="1" applyBorder="1"/>
    <xf numFmtId="164" fontId="3" fillId="0" borderId="9" xfId="0" applyNumberFormat="1" applyFont="1" applyFill="1" applyBorder="1"/>
    <xf numFmtId="164" fontId="3" fillId="0" borderId="8" xfId="0" applyNumberFormat="1" applyFont="1" applyFill="1" applyBorder="1"/>
    <xf numFmtId="164" fontId="3" fillId="0" borderId="37" xfId="0" applyNumberFormat="1" applyFont="1" applyFill="1" applyBorder="1"/>
    <xf numFmtId="164" fontId="3" fillId="0" borderId="38" xfId="0" applyNumberFormat="1" applyFont="1" applyFill="1" applyBorder="1"/>
    <xf numFmtId="0" fontId="7" fillId="0" borderId="0" xfId="0" applyFont="1" applyBorder="1" applyAlignment="1" applyProtection="1">
      <alignment horizontal="left"/>
    </xf>
    <xf numFmtId="0" fontId="6" fillId="0" borderId="0" xfId="0" applyFont="1" applyBorder="1" applyAlignment="1" applyProtection="1">
      <alignment horizontal="left" wrapText="1"/>
    </xf>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anB/AppData/Local/Microsoft/Windows/Temporary%20Internet%20Files/Content.Outlook/4CNUGM23/Copy%20of%20A1%20Schedule%20-%20Ver%202%207_2015%202016%20consolidated%20%20draft%20Final%20final%20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
          <cell r="B15" t="str">
            <v>Budget Year 2015/16</v>
          </cell>
        </row>
        <row r="16">
          <cell r="B16" t="str">
            <v>Budget Year +1 2016/17</v>
          </cell>
        </row>
        <row r="17">
          <cell r="B17" t="str">
            <v>Budget Year +2 2017/18</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Property rates - penalties &amp; collection charges</v>
          </cell>
        </row>
        <row r="7">
          <cell r="A7" t="str">
            <v>Service charges - electricity revenue</v>
          </cell>
        </row>
        <row r="8">
          <cell r="A8" t="str">
            <v>Service charges - water revenue</v>
          </cell>
        </row>
        <row r="9">
          <cell r="A9" t="str">
            <v>Service charges - sanitation revenue</v>
          </cell>
        </row>
        <row r="10">
          <cell r="A10" t="str">
            <v>Service charges - refuse revenue</v>
          </cell>
        </row>
        <row r="11">
          <cell r="A11" t="str">
            <v>Service charges - other</v>
          </cell>
        </row>
        <row r="12">
          <cell r="A12" t="str">
            <v>Rental of facilities and equipment</v>
          </cell>
        </row>
        <row r="13">
          <cell r="A13" t="str">
            <v>Interest earned - external investments</v>
          </cell>
        </row>
        <row r="14">
          <cell r="A14" t="str">
            <v>Interest earned - outstanding debtors</v>
          </cell>
        </row>
        <row r="15">
          <cell r="A15" t="str">
            <v>Dividends received</v>
          </cell>
        </row>
        <row r="16">
          <cell r="A16" t="str">
            <v>Fines</v>
          </cell>
        </row>
        <row r="17">
          <cell r="A17" t="str">
            <v>Licences and permits</v>
          </cell>
        </row>
        <row r="18">
          <cell r="A18" t="str">
            <v>Agency services</v>
          </cell>
        </row>
        <row r="20">
          <cell r="A20" t="str">
            <v>Other revenue</v>
          </cell>
        </row>
        <row r="40">
          <cell r="A40" t="str">
            <v>Contributions recognised - capital</v>
          </cell>
        </row>
        <row r="41">
          <cell r="A41" t="str">
            <v>Contributed assets</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191"/>
  <sheetViews>
    <sheetView tabSelected="1" workbookViewId="0">
      <selection activeCell="G8" sqref="G8"/>
    </sheetView>
  </sheetViews>
  <sheetFormatPr defaultRowHeight="12.7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c r="A2" s="3" t="s">
        <v>0</v>
      </c>
      <c r="B2" s="4" t="str">
        <f>Head9</f>
        <v>Budget Year 2015/16</v>
      </c>
      <c r="C2" s="5"/>
      <c r="D2" s="5"/>
      <c r="E2" s="5"/>
      <c r="F2" s="5"/>
      <c r="G2" s="5"/>
      <c r="H2" s="5"/>
      <c r="I2" s="5"/>
      <c r="J2" s="5"/>
      <c r="K2" s="5"/>
      <c r="L2" s="5"/>
      <c r="M2" s="5"/>
      <c r="N2" s="6" t="s">
        <v>1</v>
      </c>
      <c r="O2" s="7"/>
      <c r="P2" s="8"/>
    </row>
    <row r="3" spans="1:22" ht="25.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2015/16</v>
      </c>
      <c r="O3" s="13" t="str">
        <f>Head10</f>
        <v>Budget Year +1 2016/17</v>
      </c>
      <c r="P3" s="12" t="str">
        <f>Head11</f>
        <v>Budget Year +2 2017/18</v>
      </c>
    </row>
    <row r="4" spans="1:22">
      <c r="A4" s="14" t="s">
        <v>15</v>
      </c>
      <c r="B4" s="15"/>
      <c r="C4" s="16"/>
      <c r="D4" s="16"/>
      <c r="E4" s="16"/>
      <c r="F4" s="16"/>
      <c r="G4" s="16"/>
      <c r="H4" s="16"/>
      <c r="I4" s="16"/>
      <c r="J4" s="16"/>
      <c r="K4" s="16"/>
      <c r="L4" s="16"/>
      <c r="M4" s="17"/>
      <c r="N4" s="18">
        <v>1</v>
      </c>
      <c r="O4" s="16"/>
      <c r="P4" s="17"/>
      <c r="T4" s="19"/>
    </row>
    <row r="5" spans="1:22">
      <c r="A5" s="20" t="str">
        <f>'[1]A4-FinPerf RE'!A5</f>
        <v>Property rates</v>
      </c>
      <c r="B5" s="21">
        <v>3678150.465808426</v>
      </c>
      <c r="C5" s="22">
        <v>4167393.9973523552</v>
      </c>
      <c r="D5" s="22">
        <v>3801589.9004559782</v>
      </c>
      <c r="E5" s="22">
        <v>4264574.1541141709</v>
      </c>
      <c r="F5" s="22">
        <v>4230605.970322947</v>
      </c>
      <c r="G5" s="22">
        <v>4168517.4976710747</v>
      </c>
      <c r="H5" s="22">
        <v>4077386.7943524495</v>
      </c>
      <c r="I5" s="22">
        <v>4587459.4453466637</v>
      </c>
      <c r="J5" s="22">
        <v>5096653.8584297402</v>
      </c>
      <c r="K5" s="22">
        <v>4965209.3725824263</v>
      </c>
      <c r="L5" s="22">
        <v>4375464.7112319553</v>
      </c>
      <c r="M5" s="23">
        <f t="shared" ref="M5:M20" si="0">N5-SUM(B5:L5)</f>
        <v>4932776.7323318124</v>
      </c>
      <c r="N5" s="24">
        <v>52345782.899999999</v>
      </c>
      <c r="O5" s="22">
        <v>55224800.9595</v>
      </c>
      <c r="P5" s="25">
        <v>58151715.410353504</v>
      </c>
      <c r="Q5" s="26">
        <v>100001</v>
      </c>
      <c r="R5" s="21">
        <v>100001</v>
      </c>
      <c r="S5" s="21">
        <v>100001</v>
      </c>
      <c r="T5" s="19"/>
      <c r="U5" s="19"/>
      <c r="V5" s="19"/>
    </row>
    <row r="6" spans="1:22">
      <c r="A6" s="20" t="str">
        <f>'[1]A4-FinPerf RE'!A6</f>
        <v>Property rates - penalties &amp; collection charges</v>
      </c>
      <c r="B6" s="21">
        <v>270703.93104829529</v>
      </c>
      <c r="C6" s="22">
        <v>346486.96199180844</v>
      </c>
      <c r="D6" s="22">
        <v>361576.11345386575</v>
      </c>
      <c r="E6" s="22">
        <v>363802.20479059283</v>
      </c>
      <c r="F6" s="22">
        <v>363861.25384252495</v>
      </c>
      <c r="G6" s="22">
        <v>363861.25384252495</v>
      </c>
      <c r="H6" s="22">
        <v>377155.66368485184</v>
      </c>
      <c r="I6" s="22">
        <v>380871.06945942604</v>
      </c>
      <c r="J6" s="22">
        <v>351930.38832691737</v>
      </c>
      <c r="K6" s="22">
        <v>359315.15767088521</v>
      </c>
      <c r="L6" s="22">
        <v>355218.00094415364</v>
      </c>
      <c r="M6" s="23">
        <f t="shared" si="0"/>
        <v>355218.00094415341</v>
      </c>
      <c r="N6" s="24">
        <v>4250000</v>
      </c>
      <c r="O6" s="22">
        <v>4483750</v>
      </c>
      <c r="P6" s="25">
        <v>4721388.75</v>
      </c>
      <c r="T6" s="19"/>
      <c r="U6" s="19"/>
      <c r="V6" s="19"/>
    </row>
    <row r="7" spans="1:22">
      <c r="A7" s="20" t="str">
        <f>'[1]A4-FinPerf RE'!A7</f>
        <v>Service charges - electricity revenue</v>
      </c>
      <c r="B7" s="21">
        <v>28444495.917496398</v>
      </c>
      <c r="C7" s="22">
        <v>28978336.648283988</v>
      </c>
      <c r="D7" s="22">
        <v>34514805.829096571</v>
      </c>
      <c r="E7" s="22">
        <v>35836276.164634928</v>
      </c>
      <c r="F7" s="22">
        <v>38369896.3199405</v>
      </c>
      <c r="G7" s="22">
        <v>30231840.570676986</v>
      </c>
      <c r="H7" s="22">
        <v>32304377.253695823</v>
      </c>
      <c r="I7" s="22">
        <v>32530087.737972479</v>
      </c>
      <c r="J7" s="22">
        <v>30448286.54411082</v>
      </c>
      <c r="K7" s="22">
        <v>27966968.169607896</v>
      </c>
      <c r="L7" s="22">
        <v>37768800.650458574</v>
      </c>
      <c r="M7" s="23">
        <f t="shared" si="0"/>
        <v>32560425.094025075</v>
      </c>
      <c r="N7" s="24">
        <v>389954596.89999998</v>
      </c>
      <c r="O7" s="22">
        <v>411402099.7295</v>
      </c>
      <c r="P7" s="25">
        <v>433206411.01516348</v>
      </c>
      <c r="T7" s="19"/>
      <c r="U7" s="19"/>
      <c r="V7" s="19"/>
    </row>
    <row r="8" spans="1:22">
      <c r="A8" s="20" t="str">
        <f>'[1]A4-FinPerf RE'!A8</f>
        <v>Service charges - water revenue</v>
      </c>
      <c r="B8" s="21">
        <v>1505296.5190671224</v>
      </c>
      <c r="C8" s="22">
        <v>1378674.988223583</v>
      </c>
      <c r="D8" s="22">
        <v>1621117.7296285089</v>
      </c>
      <c r="E8" s="22">
        <v>1790136.5267070238</v>
      </c>
      <c r="F8" s="22">
        <v>1857660.0896608017</v>
      </c>
      <c r="G8" s="22">
        <v>1857982.6641163947</v>
      </c>
      <c r="H8" s="22">
        <v>1367701.0323620422</v>
      </c>
      <c r="I8" s="22">
        <v>1792591.8148308545</v>
      </c>
      <c r="J8" s="22">
        <v>1983444.9965357864</v>
      </c>
      <c r="K8" s="22">
        <v>1286534.7114311196</v>
      </c>
      <c r="L8" s="22">
        <v>2095245.6095111109</v>
      </c>
      <c r="M8" s="23">
        <f t="shared" si="0"/>
        <v>2249513.3179256506</v>
      </c>
      <c r="N8" s="24">
        <v>20785900</v>
      </c>
      <c r="O8" s="22">
        <v>21929124.5</v>
      </c>
      <c r="P8" s="25">
        <v>23091368.098499998</v>
      </c>
      <c r="T8" s="19"/>
      <c r="U8" s="19"/>
      <c r="V8" s="19"/>
    </row>
    <row r="9" spans="1:22">
      <c r="A9" s="20" t="str">
        <f>'[1]A4-FinPerf RE'!A9</f>
        <v>Service charges - sanitation revenue</v>
      </c>
      <c r="B9" s="21">
        <v>415818.61928315676</v>
      </c>
      <c r="C9" s="22">
        <v>380841.06538599503</v>
      </c>
      <c r="D9" s="22">
        <v>447812.72492899065</v>
      </c>
      <c r="E9" s="22">
        <v>494501.97315607325</v>
      </c>
      <c r="F9" s="22">
        <v>513154.48072575766</v>
      </c>
      <c r="G9" s="22">
        <v>513243.58773095015</v>
      </c>
      <c r="H9" s="22">
        <v>377809.65256026946</v>
      </c>
      <c r="I9" s="22">
        <v>495180.21462189837</v>
      </c>
      <c r="J9" s="22">
        <v>547900.92811396439</v>
      </c>
      <c r="K9" s="22">
        <v>355388.51023097872</v>
      </c>
      <c r="L9" s="22">
        <v>578784.39587832266</v>
      </c>
      <c r="M9" s="23">
        <f t="shared" si="0"/>
        <v>621398.8473836435</v>
      </c>
      <c r="N9" s="24">
        <v>5741835</v>
      </c>
      <c r="O9" s="22">
        <v>6057635.9249999998</v>
      </c>
      <c r="P9" s="25">
        <v>6378690.6290250001</v>
      </c>
      <c r="T9" s="19"/>
      <c r="U9" s="19"/>
      <c r="V9" s="19"/>
    </row>
    <row r="10" spans="1:22">
      <c r="A10" s="20" t="str">
        <f>'[1]A4-FinPerf RE'!A10</f>
        <v>Service charges - refuse revenue</v>
      </c>
      <c r="B10" s="21">
        <v>1371502.5406165726</v>
      </c>
      <c r="C10" s="22">
        <v>1702520.1774598176</v>
      </c>
      <c r="D10" s="22">
        <v>1757496.1366671901</v>
      </c>
      <c r="E10" s="22">
        <v>1699565.702149278</v>
      </c>
      <c r="F10" s="22">
        <v>1907197.9886014909</v>
      </c>
      <c r="G10" s="22">
        <v>1613451.5688827659</v>
      </c>
      <c r="H10" s="22">
        <v>1550001.5842294672</v>
      </c>
      <c r="I10" s="22">
        <v>1522103.8347513855</v>
      </c>
      <c r="J10" s="22">
        <v>1538393.4633837955</v>
      </c>
      <c r="K10" s="22">
        <v>1783338.522458053</v>
      </c>
      <c r="L10" s="22">
        <v>1570317.4972096425</v>
      </c>
      <c r="M10" s="23">
        <f t="shared" si="0"/>
        <v>1789110.9835905395</v>
      </c>
      <c r="N10" s="24">
        <v>19805000</v>
      </c>
      <c r="O10" s="22">
        <v>20894275</v>
      </c>
      <c r="P10" s="25">
        <v>22001671.574999999</v>
      </c>
      <c r="T10" s="19"/>
      <c r="U10" s="19"/>
      <c r="V10" s="19"/>
    </row>
    <row r="11" spans="1:22">
      <c r="A11" s="20" t="str">
        <f>'[1]A4-FinPerf RE'!A11</f>
        <v>Service charges - other</v>
      </c>
      <c r="B11" s="21">
        <v>94574.608167565224</v>
      </c>
      <c r="C11" s="22">
        <v>94207.906836176771</v>
      </c>
      <c r="D11" s="22">
        <v>86648.640439315277</v>
      </c>
      <c r="E11" s="22">
        <v>86556.621753161628</v>
      </c>
      <c r="F11" s="22">
        <v>82759.134182790629</v>
      </c>
      <c r="G11" s="22">
        <v>84784.918691397223</v>
      </c>
      <c r="H11" s="22">
        <v>84919.513187562261</v>
      </c>
      <c r="I11" s="22">
        <v>87491.000551368648</v>
      </c>
      <c r="J11" s="22">
        <v>117288.57390643893</v>
      </c>
      <c r="K11" s="22">
        <v>86967.272307787644</v>
      </c>
      <c r="L11" s="22">
        <v>98885.752284525282</v>
      </c>
      <c r="M11" s="23">
        <f t="shared" si="0"/>
        <v>147380.05769191042</v>
      </c>
      <c r="N11" s="24">
        <v>1152464</v>
      </c>
      <c r="O11" s="22">
        <v>1215849.52</v>
      </c>
      <c r="P11" s="25">
        <v>1280289.5445599998</v>
      </c>
      <c r="T11" s="19"/>
      <c r="U11" s="19"/>
      <c r="V11" s="19"/>
    </row>
    <row r="12" spans="1:22">
      <c r="A12" s="20" t="str">
        <f>'[1]A4-FinPerf RE'!A12</f>
        <v>Rental of facilities and equipment</v>
      </c>
      <c r="B12" s="21">
        <v>75564.775084110006</v>
      </c>
      <c r="C12" s="22">
        <v>76395.27423256154</v>
      </c>
      <c r="D12" s="22">
        <v>72615.438364609028</v>
      </c>
      <c r="E12" s="22">
        <v>73524.728457913661</v>
      </c>
      <c r="F12" s="22">
        <v>76491.101057382883</v>
      </c>
      <c r="G12" s="22">
        <v>73509.822062941443</v>
      </c>
      <c r="H12" s="22">
        <v>74681.038810757731</v>
      </c>
      <c r="I12" s="22">
        <v>70826.67096794417</v>
      </c>
      <c r="J12" s="22">
        <v>74414.853186254026</v>
      </c>
      <c r="K12" s="22">
        <v>70826.67096794417</v>
      </c>
      <c r="L12" s="22">
        <v>74084.78301186944</v>
      </c>
      <c r="M12" s="23">
        <f t="shared" si="0"/>
        <v>2299.8437957118731</v>
      </c>
      <c r="N12" s="24">
        <v>815235</v>
      </c>
      <c r="O12" s="22">
        <v>860072.92499999993</v>
      </c>
      <c r="P12" s="25">
        <v>905656.79002499999</v>
      </c>
      <c r="T12" s="19"/>
      <c r="U12" s="19"/>
      <c r="V12" s="19"/>
    </row>
    <row r="13" spans="1:22">
      <c r="A13" s="20" t="str">
        <f>'[1]A4-FinPerf RE'!A13</f>
        <v>Interest earned - external investments</v>
      </c>
      <c r="B13" s="21">
        <v>0</v>
      </c>
      <c r="C13" s="22">
        <v>0</v>
      </c>
      <c r="D13" s="22">
        <v>0</v>
      </c>
      <c r="E13" s="22">
        <v>0</v>
      </c>
      <c r="F13" s="22">
        <v>297077.06000635144</v>
      </c>
      <c r="G13" s="22">
        <v>36513.994610144771</v>
      </c>
      <c r="H13" s="22">
        <v>81208.565045014184</v>
      </c>
      <c r="I13" s="22">
        <v>52476.289173712918</v>
      </c>
      <c r="J13" s="22">
        <v>47288.962204079224</v>
      </c>
      <c r="K13" s="22">
        <v>474839.48212222703</v>
      </c>
      <c r="L13" s="22">
        <v>18337.229969030825</v>
      </c>
      <c r="M13" s="23">
        <f t="shared" si="0"/>
        <v>252958.41686943965</v>
      </c>
      <c r="N13" s="24">
        <v>1260700</v>
      </c>
      <c r="O13" s="22">
        <v>1330038.5</v>
      </c>
      <c r="P13" s="25">
        <v>1400530.5404999999</v>
      </c>
      <c r="T13" s="19"/>
      <c r="U13" s="19"/>
      <c r="V13" s="19"/>
    </row>
    <row r="14" spans="1:22">
      <c r="A14" s="20" t="str">
        <f>'[1]A4-FinPerf RE'!A14</f>
        <v>Interest earned - outstanding debtors</v>
      </c>
      <c r="B14" s="21">
        <v>1043499.1042794334</v>
      </c>
      <c r="C14" s="22">
        <v>1085012.0216132258</v>
      </c>
      <c r="D14" s="22">
        <v>1040356.6967008552</v>
      </c>
      <c r="E14" s="22">
        <v>1165602.1522717336</v>
      </c>
      <c r="F14" s="22">
        <v>1141006.1629676686</v>
      </c>
      <c r="G14" s="22">
        <v>1139925.2559132008</v>
      </c>
      <c r="H14" s="22">
        <v>1169811.9414776124</v>
      </c>
      <c r="I14" s="22">
        <v>1115064.3936604392</v>
      </c>
      <c r="J14" s="22">
        <v>1178633.901347602</v>
      </c>
      <c r="K14" s="22">
        <v>1222310.8870281917</v>
      </c>
      <c r="L14" s="22">
        <v>978992.96076092229</v>
      </c>
      <c r="M14" s="23">
        <f t="shared" si="0"/>
        <v>1019784.521979114</v>
      </c>
      <c r="N14" s="24">
        <v>13300000</v>
      </c>
      <c r="O14" s="22">
        <v>14031500</v>
      </c>
      <c r="P14" s="25">
        <v>14775169.499999998</v>
      </c>
      <c r="T14" s="19"/>
      <c r="U14" s="19"/>
      <c r="V14" s="19"/>
    </row>
    <row r="15" spans="1:22">
      <c r="A15" s="20" t="str">
        <f>'[1]A4-FinPerf RE'!A15</f>
        <v>Dividends received</v>
      </c>
      <c r="B15" s="21">
        <v>0</v>
      </c>
      <c r="C15" s="22">
        <v>0</v>
      </c>
      <c r="D15" s="22">
        <v>0</v>
      </c>
      <c r="E15" s="22">
        <v>0</v>
      </c>
      <c r="F15" s="22">
        <v>0</v>
      </c>
      <c r="G15" s="22">
        <v>0</v>
      </c>
      <c r="H15" s="22">
        <v>0</v>
      </c>
      <c r="I15" s="22">
        <v>0</v>
      </c>
      <c r="J15" s="22">
        <v>0</v>
      </c>
      <c r="K15" s="22">
        <v>0</v>
      </c>
      <c r="L15" s="22">
        <v>0</v>
      </c>
      <c r="M15" s="23">
        <f t="shared" si="0"/>
        <v>0</v>
      </c>
      <c r="N15" s="24">
        <v>0</v>
      </c>
      <c r="O15" s="22">
        <v>0</v>
      </c>
      <c r="P15" s="25">
        <v>0</v>
      </c>
      <c r="T15" s="19"/>
      <c r="U15" s="19"/>
      <c r="V15" s="19"/>
    </row>
    <row r="16" spans="1:22">
      <c r="A16" s="20" t="str">
        <f>'[1]A4-FinPerf RE'!A16</f>
        <v>Fines</v>
      </c>
      <c r="B16" s="21">
        <v>94729.764344490191</v>
      </c>
      <c r="C16" s="22">
        <v>108845.16174229434</v>
      </c>
      <c r="D16" s="22">
        <v>150333.55291637269</v>
      </c>
      <c r="E16" s="22">
        <v>115760.20139115646</v>
      </c>
      <c r="F16" s="22">
        <v>98668.354493004197</v>
      </c>
      <c r="G16" s="22">
        <v>239468.68176447411</v>
      </c>
      <c r="H16" s="22">
        <v>99283.773631202435</v>
      </c>
      <c r="I16" s="22">
        <v>74671.62490100885</v>
      </c>
      <c r="J16" s="22">
        <v>147896.34539158014</v>
      </c>
      <c r="K16" s="22">
        <v>166592.06782319126</v>
      </c>
      <c r="L16" s="22">
        <v>92589.878593890928</v>
      </c>
      <c r="M16" s="23">
        <f t="shared" si="0"/>
        <v>93214.993007334648</v>
      </c>
      <c r="N16" s="24">
        <v>1482054.4000000001</v>
      </c>
      <c r="O16" s="22">
        <v>1563567.392</v>
      </c>
      <c r="P16" s="25">
        <v>1646436.4637760001</v>
      </c>
      <c r="T16" s="19"/>
      <c r="U16" s="19"/>
      <c r="V16" s="19"/>
    </row>
    <row r="17" spans="1:23">
      <c r="A17" s="20" t="str">
        <f>'[1]A4-FinPerf RE'!A17</f>
        <v>Licences and permits</v>
      </c>
      <c r="B17" s="21">
        <v>55732.416128956596</v>
      </c>
      <c r="C17" s="22">
        <v>54335.357377585278</v>
      </c>
      <c r="D17" s="22">
        <v>40307.818217601605</v>
      </c>
      <c r="E17" s="22">
        <v>93404.221587533582</v>
      </c>
      <c r="F17" s="22">
        <v>43763.272184179739</v>
      </c>
      <c r="G17" s="22">
        <v>20036.414375709184</v>
      </c>
      <c r="H17" s="22">
        <v>39100.210860967003</v>
      </c>
      <c r="I17" s="22">
        <v>46355.153228737167</v>
      </c>
      <c r="J17" s="22">
        <v>47768.48387904292</v>
      </c>
      <c r="K17" s="22">
        <v>58445.17413702701</v>
      </c>
      <c r="L17" s="22">
        <v>65178.253460399741</v>
      </c>
      <c r="M17" s="23">
        <f t="shared" si="0"/>
        <v>82711.224562260206</v>
      </c>
      <c r="N17" s="24">
        <v>647138</v>
      </c>
      <c r="O17" s="22">
        <v>682730.59</v>
      </c>
      <c r="P17" s="25">
        <v>718915.31126999995</v>
      </c>
      <c r="T17" s="19"/>
      <c r="U17" s="19"/>
      <c r="V17" s="19"/>
    </row>
    <row r="18" spans="1:23">
      <c r="A18" s="20" t="str">
        <f>'[1]A4-FinPerf RE'!A18</f>
        <v>Agency services</v>
      </c>
      <c r="B18" s="21">
        <v>3438596.3890054822</v>
      </c>
      <c r="C18" s="22">
        <v>3083329.264122535</v>
      </c>
      <c r="D18" s="22">
        <v>4376513.6908869529</v>
      </c>
      <c r="E18" s="22">
        <v>3624021.1353864488</v>
      </c>
      <c r="F18" s="22">
        <v>3326412.8468138617</v>
      </c>
      <c r="G18" s="22">
        <v>3052296.7988766963</v>
      </c>
      <c r="H18" s="22">
        <v>3764395.7170873908</v>
      </c>
      <c r="I18" s="22">
        <v>3912812.3641131683</v>
      </c>
      <c r="J18" s="22">
        <v>2710942.9807903916</v>
      </c>
      <c r="K18" s="22">
        <v>4188726.5502768136</v>
      </c>
      <c r="L18" s="22">
        <v>4188726.5502768136</v>
      </c>
      <c r="M18" s="23">
        <f t="shared" si="0"/>
        <v>3525933.7123634443</v>
      </c>
      <c r="N18" s="24">
        <v>43192708</v>
      </c>
      <c r="O18" s="22">
        <v>45568306.939999998</v>
      </c>
      <c r="P18" s="25">
        <v>47983427.207819998</v>
      </c>
      <c r="T18" s="19"/>
      <c r="U18" s="19"/>
      <c r="V18" s="19"/>
    </row>
    <row r="19" spans="1:23">
      <c r="A19" s="27" t="s">
        <v>16</v>
      </c>
      <c r="B19" s="21">
        <v>125815926.5592355</v>
      </c>
      <c r="C19" s="22">
        <v>2684108.4722997276</v>
      </c>
      <c r="D19" s="22">
        <v>449083.70132727746</v>
      </c>
      <c r="E19" s="22">
        <v>1007779.8557622788</v>
      </c>
      <c r="F19" s="22">
        <v>99987497.590006784</v>
      </c>
      <c r="G19" s="22">
        <v>371974.82902134978</v>
      </c>
      <c r="H19" s="22">
        <v>252058.31495397081</v>
      </c>
      <c r="I19" s="22">
        <v>955974.99781699816</v>
      </c>
      <c r="J19" s="22">
        <f>95209731.7062228+914669</f>
        <v>96124400.706222802</v>
      </c>
      <c r="K19" s="22">
        <v>0</v>
      </c>
      <c r="L19" s="22">
        <v>0</v>
      </c>
      <c r="M19" s="23">
        <f t="shared" si="0"/>
        <v>38031074.973353267</v>
      </c>
      <c r="N19" s="24">
        <v>365679880</v>
      </c>
      <c r="O19" s="22">
        <v>360865104</v>
      </c>
      <c r="P19" s="25">
        <v>367100844</v>
      </c>
      <c r="T19" s="19"/>
      <c r="U19" s="19"/>
      <c r="V19" s="19"/>
    </row>
    <row r="20" spans="1:23">
      <c r="A20" s="20" t="str">
        <f>'[1]A4-FinPerf RE'!A20</f>
        <v>Other revenue</v>
      </c>
      <c r="B20" s="21">
        <v>135074</v>
      </c>
      <c r="C20" s="22">
        <v>44460.399999999994</v>
      </c>
      <c r="D20" s="22">
        <v>115342.39999999999</v>
      </c>
      <c r="E20" s="22">
        <v>98445.2</v>
      </c>
      <c r="F20" s="22">
        <v>191708.4</v>
      </c>
      <c r="G20" s="22">
        <v>46312.799999999996</v>
      </c>
      <c r="H20" s="22">
        <v>175128.8</v>
      </c>
      <c r="I20" s="22">
        <v>104593.99999999999</v>
      </c>
      <c r="J20" s="22">
        <v>44039.6</v>
      </c>
      <c r="K20" s="22">
        <v>45840.799999999996</v>
      </c>
      <c r="L20" s="22">
        <v>63230.799999999996</v>
      </c>
      <c r="M20" s="23">
        <f t="shared" si="0"/>
        <v>1348021.2</v>
      </c>
      <c r="N20" s="24">
        <v>2412198.4</v>
      </c>
      <c r="O20" s="22">
        <v>2664869.3120000004</v>
      </c>
      <c r="P20" s="25">
        <v>2927747.3855360001</v>
      </c>
      <c r="T20" s="19"/>
      <c r="U20" s="19"/>
      <c r="V20" s="19"/>
    </row>
    <row r="21" spans="1:23">
      <c r="A21" s="28" t="s">
        <v>17</v>
      </c>
      <c r="B21" s="29">
        <f t="shared" ref="B21:P21" si="1">SUM(B5:B20)</f>
        <v>166439665.6095655</v>
      </c>
      <c r="C21" s="30">
        <f t="shared" si="1"/>
        <v>44184947.696921654</v>
      </c>
      <c r="D21" s="30">
        <f t="shared" si="1"/>
        <v>48835600.373084091</v>
      </c>
      <c r="E21" s="30">
        <f t="shared" si="1"/>
        <v>50713950.842162296</v>
      </c>
      <c r="F21" s="30">
        <f t="shared" si="1"/>
        <v>152487760.02480605</v>
      </c>
      <c r="G21" s="30">
        <f t="shared" si="1"/>
        <v>43813720.6582366</v>
      </c>
      <c r="H21" s="30">
        <f t="shared" si="1"/>
        <v>45795019.855939381</v>
      </c>
      <c r="I21" s="30">
        <f t="shared" si="1"/>
        <v>47728560.611396082</v>
      </c>
      <c r="J21" s="30">
        <f t="shared" si="1"/>
        <v>140459284.5858292</v>
      </c>
      <c r="K21" s="30">
        <f t="shared" si="1"/>
        <v>43031303.348644555</v>
      </c>
      <c r="L21" s="30">
        <f t="shared" si="1"/>
        <v>52323857.073591217</v>
      </c>
      <c r="M21" s="31">
        <f t="shared" si="1"/>
        <v>87011821.919823334</v>
      </c>
      <c r="N21" s="32">
        <f t="shared" si="1"/>
        <v>922825492.5999999</v>
      </c>
      <c r="O21" s="30">
        <f t="shared" si="1"/>
        <v>948773725.29299998</v>
      </c>
      <c r="P21" s="33">
        <f t="shared" si="1"/>
        <v>986290262.22152901</v>
      </c>
      <c r="Q21" s="19"/>
      <c r="R21" s="19"/>
      <c r="S21" s="19"/>
      <c r="T21" s="19"/>
      <c r="U21" s="19"/>
      <c r="V21" s="19"/>
      <c r="W21" s="19"/>
    </row>
    <row r="22" spans="1:23">
      <c r="A22" s="34"/>
      <c r="B22" s="35"/>
      <c r="C22" s="36"/>
      <c r="D22" s="36"/>
      <c r="E22" s="36"/>
      <c r="F22" s="36"/>
      <c r="G22" s="36"/>
      <c r="H22" s="36"/>
      <c r="I22" s="36"/>
      <c r="J22" s="36"/>
      <c r="K22" s="36"/>
      <c r="L22" s="36"/>
      <c r="M22" s="37"/>
      <c r="N22" s="38"/>
      <c r="O22" s="36"/>
      <c r="P22" s="39"/>
      <c r="Q22" s="19"/>
      <c r="R22" s="19"/>
      <c r="S22" s="19"/>
      <c r="T22" s="19"/>
      <c r="U22" s="19"/>
      <c r="V22" s="19"/>
      <c r="W22" s="19"/>
    </row>
    <row r="23" spans="1:23">
      <c r="A23" s="40" t="s">
        <v>18</v>
      </c>
      <c r="B23" s="35"/>
      <c r="C23" s="36"/>
      <c r="D23" s="36"/>
      <c r="E23" s="36"/>
      <c r="F23" s="36"/>
      <c r="G23" s="36"/>
      <c r="H23" s="36"/>
      <c r="I23" s="36"/>
      <c r="J23" s="36"/>
      <c r="K23" s="36"/>
      <c r="L23" s="36"/>
      <c r="M23" s="37"/>
      <c r="N23" s="38"/>
      <c r="O23" s="36"/>
      <c r="P23" s="39"/>
      <c r="Q23" s="19"/>
      <c r="R23" s="19"/>
      <c r="S23" s="19"/>
      <c r="T23" s="19"/>
      <c r="U23" s="19"/>
      <c r="V23" s="19"/>
      <c r="W23" s="19"/>
    </row>
    <row r="24" spans="1:23">
      <c r="A24" s="41" t="s">
        <v>19</v>
      </c>
      <c r="B24" s="21">
        <v>27385775.846783489</v>
      </c>
      <c r="C24" s="22">
        <v>943746.78542215319</v>
      </c>
      <c r="D24" s="22">
        <v>2502614.5211508847</v>
      </c>
      <c r="E24" s="22">
        <v>404462.90803806565</v>
      </c>
      <c r="F24" s="22">
        <v>32037641.671511173</v>
      </c>
      <c r="G24" s="22">
        <v>337052.42336505471</v>
      </c>
      <c r="H24" s="22">
        <v>337052.42336505471</v>
      </c>
      <c r="I24" s="22">
        <v>6855079.9094503233</v>
      </c>
      <c r="J24" s="22">
        <v>20828024.5109138</v>
      </c>
      <c r="K24" s="22" t="s">
        <v>20</v>
      </c>
      <c r="L24" s="22" t="s">
        <v>20</v>
      </c>
      <c r="M24" s="37">
        <f t="shared" ref="M24:M32" si="2">N24-SUM(B24:L24)</f>
        <v>0</v>
      </c>
      <c r="N24" s="24">
        <v>91631451</v>
      </c>
      <c r="O24" s="22">
        <v>95165450</v>
      </c>
      <c r="P24" s="25">
        <v>100461700</v>
      </c>
      <c r="Q24" s="19"/>
      <c r="R24" s="19"/>
      <c r="S24" s="19"/>
      <c r="T24" s="19"/>
      <c r="U24" s="19"/>
      <c r="V24" s="19"/>
      <c r="W24" s="19"/>
    </row>
    <row r="25" spans="1:23">
      <c r="A25" s="42" t="str">
        <f>'[1]A4-FinPerf RE'!A40&amp;" &amp; "&amp;'[1]A4-FinPerf RE'!A41</f>
        <v>Contributions recognised - capital &amp; Contributed assets</v>
      </c>
      <c r="B25" s="21"/>
      <c r="C25" s="22"/>
      <c r="D25" s="22"/>
      <c r="E25" s="22"/>
      <c r="F25" s="22"/>
      <c r="G25" s="22"/>
      <c r="H25" s="22"/>
      <c r="I25" s="22"/>
      <c r="J25" s="22"/>
      <c r="K25" s="22"/>
      <c r="L25" s="22"/>
      <c r="M25" s="37">
        <f t="shared" si="2"/>
        <v>0</v>
      </c>
      <c r="N25" s="24"/>
      <c r="O25" s="22"/>
      <c r="P25" s="25"/>
      <c r="Q25" s="19"/>
      <c r="R25" s="19"/>
      <c r="S25" s="19"/>
      <c r="T25" s="19"/>
      <c r="U25" s="19"/>
      <c r="V25" s="19"/>
      <c r="W25" s="19"/>
    </row>
    <row r="26" spans="1:23">
      <c r="A26" s="42" t="str">
        <f>'[1]A7-CFlow'!A21</f>
        <v>Proceeds on disposal of PPE</v>
      </c>
      <c r="B26" s="21"/>
      <c r="C26" s="22"/>
      <c r="D26" s="22"/>
      <c r="E26" s="22"/>
      <c r="F26" s="22"/>
      <c r="G26" s="22"/>
      <c r="H26" s="22"/>
      <c r="I26" s="22"/>
      <c r="J26" s="22"/>
      <c r="K26" s="22"/>
      <c r="L26" s="22"/>
      <c r="M26" s="37">
        <f t="shared" si="2"/>
        <v>2300000</v>
      </c>
      <c r="N26" s="24">
        <v>2300000</v>
      </c>
      <c r="O26" s="22">
        <v>2426500</v>
      </c>
      <c r="P26" s="25">
        <v>2555104.5</v>
      </c>
      <c r="Q26" s="19"/>
      <c r="R26" s="19"/>
      <c r="S26" s="19"/>
      <c r="T26" s="19"/>
      <c r="U26" s="19"/>
      <c r="V26" s="19"/>
      <c r="W26" s="19"/>
    </row>
    <row r="27" spans="1:23">
      <c r="A27" s="42" t="str">
        <f>'[1]A7-CFlow'!A31</f>
        <v>Short term loans</v>
      </c>
      <c r="B27" s="21"/>
      <c r="C27" s="22"/>
      <c r="D27" s="22"/>
      <c r="E27" s="22"/>
      <c r="F27" s="22"/>
      <c r="G27" s="22"/>
      <c r="H27" s="22"/>
      <c r="I27" s="22"/>
      <c r="J27" s="22"/>
      <c r="K27" s="22"/>
      <c r="L27" s="22"/>
      <c r="M27" s="37">
        <f t="shared" si="2"/>
        <v>0</v>
      </c>
      <c r="N27" s="24"/>
      <c r="O27" s="22"/>
      <c r="P27" s="25"/>
      <c r="Q27" s="19"/>
      <c r="R27" s="19"/>
      <c r="S27" s="19"/>
      <c r="T27" s="19"/>
      <c r="U27" s="19"/>
      <c r="V27" s="19"/>
      <c r="W27" s="19"/>
    </row>
    <row r="28" spans="1:23">
      <c r="A28" s="42" t="str">
        <f>'[1]A7-CFlow'!A32</f>
        <v>Borrowing long term/refinancing</v>
      </c>
      <c r="B28" s="21"/>
      <c r="C28" s="22"/>
      <c r="D28" s="22"/>
      <c r="E28" s="22"/>
      <c r="F28" s="22"/>
      <c r="G28" s="22"/>
      <c r="H28" s="22"/>
      <c r="I28" s="22"/>
      <c r="J28" s="22"/>
      <c r="K28" s="22"/>
      <c r="L28" s="22"/>
      <c r="M28" s="37">
        <f t="shared" si="2"/>
        <v>0</v>
      </c>
      <c r="N28" s="24"/>
      <c r="O28" s="22"/>
      <c r="P28" s="25"/>
      <c r="Q28" s="19"/>
      <c r="R28" s="19"/>
      <c r="S28" s="19"/>
      <c r="T28" s="19"/>
      <c r="U28" s="19"/>
      <c r="V28" s="19"/>
      <c r="W28" s="19"/>
    </row>
    <row r="29" spans="1:23">
      <c r="A29" s="42" t="str">
        <f>'[1]A7-CFlow'!A33</f>
        <v>Increase (decrease) in consumer deposits</v>
      </c>
      <c r="B29" s="21"/>
      <c r="C29" s="22"/>
      <c r="D29" s="22"/>
      <c r="E29" s="22"/>
      <c r="F29" s="22"/>
      <c r="G29" s="22"/>
      <c r="H29" s="22"/>
      <c r="I29" s="22"/>
      <c r="J29" s="22"/>
      <c r="K29" s="22"/>
      <c r="L29" s="22"/>
      <c r="M29" s="37">
        <f t="shared" si="2"/>
        <v>0</v>
      </c>
      <c r="N29" s="24"/>
      <c r="O29" s="22"/>
      <c r="P29" s="25"/>
      <c r="Q29" s="19"/>
      <c r="R29" s="19"/>
      <c r="S29" s="19"/>
      <c r="T29" s="19"/>
      <c r="U29" s="19"/>
      <c r="V29" s="19"/>
      <c r="W29" s="19"/>
    </row>
    <row r="30" spans="1:23">
      <c r="A30" s="42" t="str">
        <f>'[1]A7-CFlow'!A22</f>
        <v>Decrease (Increase) in non-current debtors</v>
      </c>
      <c r="B30" s="21"/>
      <c r="C30" s="22"/>
      <c r="D30" s="22"/>
      <c r="E30" s="22"/>
      <c r="F30" s="22"/>
      <c r="G30" s="22"/>
      <c r="H30" s="22"/>
      <c r="I30" s="22"/>
      <c r="J30" s="22"/>
      <c r="K30" s="22"/>
      <c r="L30" s="22"/>
      <c r="M30" s="37">
        <f t="shared" si="2"/>
        <v>0</v>
      </c>
      <c r="N30" s="24"/>
      <c r="O30" s="22"/>
      <c r="P30" s="25"/>
      <c r="Q30" s="19"/>
      <c r="R30" s="19"/>
      <c r="S30" s="19"/>
      <c r="T30" s="19"/>
      <c r="U30" s="19"/>
      <c r="V30" s="19"/>
      <c r="W30" s="19"/>
    </row>
    <row r="31" spans="1:23">
      <c r="A31" s="42" t="str">
        <f>'[1]A7-CFlow'!A23</f>
        <v>Decrease (increase) other non-current receivables</v>
      </c>
      <c r="B31" s="21"/>
      <c r="C31" s="22"/>
      <c r="D31" s="22"/>
      <c r="E31" s="22"/>
      <c r="F31" s="22"/>
      <c r="G31" s="22"/>
      <c r="H31" s="22"/>
      <c r="I31" s="22"/>
      <c r="J31" s="22"/>
      <c r="K31" s="22"/>
      <c r="L31" s="22"/>
      <c r="M31" s="37">
        <f t="shared" si="2"/>
        <v>0</v>
      </c>
      <c r="N31" s="24"/>
      <c r="O31" s="22"/>
      <c r="P31" s="25"/>
      <c r="Q31" s="19"/>
      <c r="R31" s="19"/>
      <c r="S31" s="19"/>
      <c r="T31" s="19"/>
      <c r="U31" s="19"/>
      <c r="V31" s="19"/>
      <c r="W31" s="19"/>
    </row>
    <row r="32" spans="1:23">
      <c r="A32" s="42" t="str">
        <f>'[1]A7-CFlow'!A24</f>
        <v>Decrease (increase) in non-current investments</v>
      </c>
      <c r="B32" s="21"/>
      <c r="C32" s="22"/>
      <c r="D32" s="22"/>
      <c r="E32" s="22"/>
      <c r="F32" s="22"/>
      <c r="G32" s="22"/>
      <c r="H32" s="22"/>
      <c r="I32" s="22"/>
      <c r="J32" s="22"/>
      <c r="K32" s="22"/>
      <c r="L32" s="22"/>
      <c r="M32" s="37">
        <f t="shared" si="2"/>
        <v>0</v>
      </c>
      <c r="N32" s="24"/>
      <c r="O32" s="22"/>
      <c r="P32" s="25"/>
      <c r="Q32" s="19"/>
      <c r="R32" s="19"/>
      <c r="S32" s="19"/>
      <c r="T32" s="19"/>
      <c r="U32" s="19"/>
      <c r="V32" s="19"/>
      <c r="W32" s="19"/>
    </row>
    <row r="33" spans="1:23">
      <c r="A33" s="43" t="s">
        <v>21</v>
      </c>
      <c r="B33" s="44">
        <f t="shared" ref="B33:P33" si="3">SUM(B21:B32)</f>
        <v>193825441.45634899</v>
      </c>
      <c r="C33" s="45">
        <f t="shared" si="3"/>
        <v>45128694.482343808</v>
      </c>
      <c r="D33" s="45">
        <f t="shared" si="3"/>
        <v>51338214.894234978</v>
      </c>
      <c r="E33" s="45">
        <f t="shared" si="3"/>
        <v>51118413.750200361</v>
      </c>
      <c r="F33" s="45">
        <f t="shared" si="3"/>
        <v>184525401.69631723</v>
      </c>
      <c r="G33" s="45">
        <f t="shared" si="3"/>
        <v>44150773.081601657</v>
      </c>
      <c r="H33" s="45">
        <f t="shared" si="3"/>
        <v>46132072.279304437</v>
      </c>
      <c r="I33" s="45">
        <f t="shared" si="3"/>
        <v>54583640.520846404</v>
      </c>
      <c r="J33" s="45">
        <f t="shared" si="3"/>
        <v>161287309.09674299</v>
      </c>
      <c r="K33" s="45">
        <f t="shared" si="3"/>
        <v>43031303.348644555</v>
      </c>
      <c r="L33" s="45">
        <f t="shared" si="3"/>
        <v>52323857.073591217</v>
      </c>
      <c r="M33" s="46">
        <f t="shared" si="3"/>
        <v>89311821.919823334</v>
      </c>
      <c r="N33" s="47">
        <f t="shared" si="3"/>
        <v>1016756943.5999999</v>
      </c>
      <c r="O33" s="45">
        <f t="shared" si="3"/>
        <v>1046365675.293</v>
      </c>
      <c r="P33" s="48">
        <f t="shared" si="3"/>
        <v>1089307066.721529</v>
      </c>
      <c r="Q33" s="19"/>
      <c r="R33" s="19"/>
      <c r="S33" s="19"/>
      <c r="T33" s="19"/>
      <c r="U33" s="19"/>
      <c r="V33" s="19"/>
      <c r="W33" s="19"/>
    </row>
    <row r="34" spans="1:23">
      <c r="A34" s="49"/>
      <c r="B34" s="35"/>
      <c r="C34" s="36"/>
      <c r="D34" s="36"/>
      <c r="E34" s="36"/>
      <c r="F34" s="36"/>
      <c r="G34" s="36"/>
      <c r="H34" s="36"/>
      <c r="I34" s="36"/>
      <c r="J34" s="36"/>
      <c r="K34" s="36"/>
      <c r="L34" s="36"/>
      <c r="M34" s="37"/>
      <c r="N34" s="38"/>
      <c r="O34" s="36"/>
      <c r="P34" s="39"/>
      <c r="Q34" s="19"/>
      <c r="R34" s="19"/>
      <c r="S34" s="19"/>
      <c r="T34" s="19"/>
      <c r="U34" s="19"/>
      <c r="V34" s="19"/>
      <c r="W34" s="19"/>
    </row>
    <row r="35" spans="1:23">
      <c r="A35" s="50" t="s">
        <v>22</v>
      </c>
      <c r="B35" s="35"/>
      <c r="C35" s="36"/>
      <c r="D35" s="36"/>
      <c r="E35" s="36"/>
      <c r="F35" s="36"/>
      <c r="G35" s="36"/>
      <c r="H35" s="36"/>
      <c r="I35" s="36"/>
      <c r="J35" s="36"/>
      <c r="K35" s="36"/>
      <c r="L35" s="36"/>
      <c r="M35" s="37"/>
      <c r="N35" s="51"/>
      <c r="O35" s="36"/>
      <c r="P35" s="39"/>
      <c r="Q35" s="19"/>
      <c r="R35" s="19"/>
      <c r="S35" s="19"/>
      <c r="T35" s="19"/>
      <c r="U35" s="19"/>
      <c r="V35" s="19"/>
      <c r="W35" s="19"/>
    </row>
    <row r="36" spans="1:23">
      <c r="A36" s="42" t="s">
        <v>23</v>
      </c>
      <c r="B36" s="21">
        <v>26474689.735074397</v>
      </c>
      <c r="C36" s="22">
        <v>23264739.892814536</v>
      </c>
      <c r="D36" s="22">
        <v>24716675.551794101</v>
      </c>
      <c r="E36" s="22">
        <v>27112122.633609902</v>
      </c>
      <c r="F36" s="22">
        <v>24171399.848295137</v>
      </c>
      <c r="G36" s="22">
        <v>25347134.305171397</v>
      </c>
      <c r="H36" s="22">
        <v>28844573.219903558</v>
      </c>
      <c r="I36" s="22">
        <v>25287496.247944407</v>
      </c>
      <c r="J36" s="22">
        <v>24533045.801259942</v>
      </c>
      <c r="K36" s="22">
        <v>25230549.617890339</v>
      </c>
      <c r="L36" s="22">
        <v>24564972.08091804</v>
      </c>
      <c r="M36" s="37">
        <f t="shared" ref="M36:M45" si="4">N36-SUM(B36:L36)</f>
        <v>27219757.39532423</v>
      </c>
      <c r="N36" s="24">
        <v>306767156.32999998</v>
      </c>
      <c r="O36" s="22">
        <v>323693649.45500004</v>
      </c>
      <c r="P36" s="25">
        <v>340915173.38610506</v>
      </c>
      <c r="Q36" s="19"/>
      <c r="R36" s="19"/>
      <c r="S36" s="19"/>
      <c r="T36" s="19"/>
      <c r="U36" s="19"/>
      <c r="V36" s="19"/>
      <c r="W36" s="19"/>
    </row>
    <row r="37" spans="1:23">
      <c r="A37" s="42" t="s">
        <v>24</v>
      </c>
      <c r="B37" s="21">
        <v>1803392.713065099</v>
      </c>
      <c r="C37" s="22">
        <v>1802567.2361501518</v>
      </c>
      <c r="D37" s="22">
        <v>1810172.1098850486</v>
      </c>
      <c r="E37" s="22">
        <v>1800958.958379376</v>
      </c>
      <c r="F37" s="22">
        <v>1800195.6665791443</v>
      </c>
      <c r="G37" s="22">
        <v>1802247.7753647515</v>
      </c>
      <c r="H37" s="22">
        <v>1799956.6806480812</v>
      </c>
      <c r="I37" s="22">
        <v>1932985.4445488635</v>
      </c>
      <c r="J37" s="22">
        <v>1903269.9326079495</v>
      </c>
      <c r="K37" s="22">
        <v>1891064.019058605</v>
      </c>
      <c r="L37" s="22">
        <v>1921619.4189567445</v>
      </c>
      <c r="M37" s="37">
        <f t="shared" si="4"/>
        <v>1912426.0447561853</v>
      </c>
      <c r="N37" s="24">
        <v>22180856</v>
      </c>
      <c r="O37" s="22">
        <v>23416763.079999998</v>
      </c>
      <c r="P37" s="25">
        <v>24664665.523239996</v>
      </c>
      <c r="Q37" s="19"/>
      <c r="R37" s="19"/>
      <c r="S37" s="19"/>
      <c r="T37" s="19"/>
      <c r="U37" s="19"/>
      <c r="V37" s="19"/>
      <c r="W37" s="19"/>
    </row>
    <row r="38" spans="1:23">
      <c r="A38" s="42" t="s">
        <v>25</v>
      </c>
      <c r="B38" s="21">
        <v>217193</v>
      </c>
      <c r="C38" s="22">
        <v>216605</v>
      </c>
      <c r="D38" s="22">
        <v>585133</v>
      </c>
      <c r="E38" s="22">
        <v>215380</v>
      </c>
      <c r="F38" s="22">
        <v>207854</v>
      </c>
      <c r="G38" s="22">
        <v>3514311</v>
      </c>
      <c r="H38" s="22">
        <v>213536</v>
      </c>
      <c r="I38" s="22">
        <v>192440</v>
      </c>
      <c r="J38" s="22">
        <v>588343</v>
      </c>
      <c r="K38" s="22">
        <v>204757</v>
      </c>
      <c r="L38" s="22">
        <v>108784</v>
      </c>
      <c r="M38" s="37">
        <f t="shared" si="4"/>
        <v>3279608</v>
      </c>
      <c r="N38" s="24">
        <v>9543944</v>
      </c>
      <c r="O38" s="22">
        <v>10071949.420000002</v>
      </c>
      <c r="P38" s="25">
        <v>10603848.05926</v>
      </c>
      <c r="Q38" s="19"/>
      <c r="R38" s="19"/>
      <c r="S38" s="19"/>
      <c r="T38" s="19"/>
      <c r="U38" s="19"/>
      <c r="V38" s="19"/>
      <c r="W38" s="19"/>
    </row>
    <row r="39" spans="1:23">
      <c r="A39" s="42" t="s">
        <v>26</v>
      </c>
      <c r="B39" s="21">
        <v>39244578.290308982</v>
      </c>
      <c r="C39" s="22">
        <v>37959598.168587372</v>
      </c>
      <c r="D39" s="22">
        <v>35003208.749409407</v>
      </c>
      <c r="E39" s="22">
        <v>22600654.969524376</v>
      </c>
      <c r="F39" s="22">
        <v>24597050.487847261</v>
      </c>
      <c r="G39" s="22">
        <v>23804105.650080204</v>
      </c>
      <c r="H39" s="22">
        <v>19772108.458215281</v>
      </c>
      <c r="I39" s="22">
        <v>21742999.258130517</v>
      </c>
      <c r="J39" s="22">
        <v>21557229.670909226</v>
      </c>
      <c r="K39" s="22">
        <v>20923261.034496523</v>
      </c>
      <c r="L39" s="22">
        <v>18172756.832742631</v>
      </c>
      <c r="M39" s="37">
        <f t="shared" si="4"/>
        <v>21723072.429748237</v>
      </c>
      <c r="N39" s="24">
        <v>307100624</v>
      </c>
      <c r="O39" s="22">
        <v>323991158.31999999</v>
      </c>
      <c r="P39" s="25">
        <v>341162689.71096003</v>
      </c>
      <c r="Q39" s="19"/>
      <c r="R39" s="19"/>
      <c r="S39" s="19"/>
      <c r="T39" s="19"/>
      <c r="U39" s="19"/>
      <c r="V39" s="19"/>
      <c r="W39" s="19"/>
    </row>
    <row r="40" spans="1:23">
      <c r="A40" s="42" t="s">
        <v>27</v>
      </c>
      <c r="B40" s="21">
        <v>485992.39923330687</v>
      </c>
      <c r="C40" s="22">
        <v>224024.80488878026</v>
      </c>
      <c r="D40" s="22">
        <v>354588.5665640044</v>
      </c>
      <c r="E40" s="22">
        <v>197861.70372214794</v>
      </c>
      <c r="F40" s="22">
        <v>344603.48759933922</v>
      </c>
      <c r="G40" s="22">
        <v>304914.34482166311</v>
      </c>
      <c r="H40" s="22">
        <v>0</v>
      </c>
      <c r="I40" s="22">
        <v>37243.824858173983</v>
      </c>
      <c r="J40" s="22">
        <v>208648.69230333387</v>
      </c>
      <c r="K40" s="22">
        <v>0</v>
      </c>
      <c r="L40" s="22">
        <f>517500.176009251-205000</f>
        <v>312500.17600925098</v>
      </c>
      <c r="M40" s="37">
        <f t="shared" si="4"/>
        <v>205000</v>
      </c>
      <c r="N40" s="24">
        <v>2675378</v>
      </c>
      <c r="O40" s="22">
        <v>2822523.79</v>
      </c>
      <c r="P40" s="25">
        <v>2972117.5508699999</v>
      </c>
      <c r="Q40" s="52"/>
      <c r="R40" s="19"/>
      <c r="S40" s="19"/>
      <c r="T40" s="19"/>
      <c r="U40" s="19"/>
      <c r="V40" s="19"/>
      <c r="W40" s="19"/>
    </row>
    <row r="41" spans="1:23">
      <c r="A41" s="42" t="s">
        <v>28</v>
      </c>
      <c r="B41" s="21">
        <v>0</v>
      </c>
      <c r="C41" s="22">
        <v>0</v>
      </c>
      <c r="D41" s="22">
        <v>0</v>
      </c>
      <c r="E41" s="22">
        <v>0</v>
      </c>
      <c r="F41" s="22">
        <v>0</v>
      </c>
      <c r="G41" s="22">
        <v>0</v>
      </c>
      <c r="H41" s="22">
        <v>0</v>
      </c>
      <c r="I41" s="22">
        <v>0</v>
      </c>
      <c r="J41" s="22">
        <v>0</v>
      </c>
      <c r="K41" s="22">
        <v>0</v>
      </c>
      <c r="L41" s="22">
        <v>0</v>
      </c>
      <c r="M41" s="37">
        <f t="shared" si="4"/>
        <v>0</v>
      </c>
      <c r="N41" s="24"/>
      <c r="O41" s="22"/>
      <c r="P41" s="25"/>
      <c r="Q41" s="52"/>
      <c r="R41" s="19"/>
      <c r="S41" s="19"/>
      <c r="T41" s="19"/>
      <c r="U41" s="19"/>
      <c r="V41" s="19"/>
      <c r="W41" s="19"/>
    </row>
    <row r="42" spans="1:23">
      <c r="A42" s="42" t="s">
        <v>29</v>
      </c>
      <c r="B42" s="21">
        <v>6578135.1698962171</v>
      </c>
      <c r="C42" s="22">
        <v>2605190.1605823305</v>
      </c>
      <c r="D42" s="22">
        <v>4813088.5257589817</v>
      </c>
      <c r="E42" s="22">
        <v>3878183.9713633279</v>
      </c>
      <c r="F42" s="22">
        <v>3694822.6029616138</v>
      </c>
      <c r="G42" s="22">
        <v>8436322.9184658695</v>
      </c>
      <c r="H42" s="22">
        <v>3774167.780883932</v>
      </c>
      <c r="I42" s="22">
        <v>1792560.7132933058</v>
      </c>
      <c r="J42" s="22">
        <v>5667654.7488367138</v>
      </c>
      <c r="K42" s="22">
        <v>1547958.6431706296</v>
      </c>
      <c r="L42" s="22">
        <v>5252494.0834268192</v>
      </c>
      <c r="M42" s="37">
        <f t="shared" si="4"/>
        <v>2701717.6813602597</v>
      </c>
      <c r="N42" s="24">
        <v>50742297</v>
      </c>
      <c r="O42" s="22">
        <v>53531226.719999999</v>
      </c>
      <c r="P42" s="25">
        <v>56367648.49177999</v>
      </c>
      <c r="Q42" s="19"/>
      <c r="R42" s="19"/>
      <c r="S42" s="19"/>
      <c r="T42" s="19"/>
      <c r="U42" s="19"/>
      <c r="V42" s="19"/>
      <c r="W42" s="19"/>
    </row>
    <row r="43" spans="1:23">
      <c r="A43" s="42" t="s">
        <v>30</v>
      </c>
      <c r="B43" s="21">
        <v>0</v>
      </c>
      <c r="C43" s="22">
        <v>0</v>
      </c>
      <c r="D43" s="22">
        <v>0</v>
      </c>
      <c r="E43" s="22">
        <v>0</v>
      </c>
      <c r="F43" s="22">
        <v>0</v>
      </c>
      <c r="G43" s="22">
        <v>0</v>
      </c>
      <c r="H43" s="22">
        <v>0</v>
      </c>
      <c r="I43" s="22">
        <v>0</v>
      </c>
      <c r="J43" s="22">
        <v>0</v>
      </c>
      <c r="K43" s="22">
        <v>0</v>
      </c>
      <c r="L43" s="22">
        <v>0</v>
      </c>
      <c r="M43" s="37">
        <f t="shared" si="4"/>
        <v>0</v>
      </c>
      <c r="N43" s="24"/>
      <c r="O43" s="22"/>
      <c r="P43" s="25"/>
      <c r="Q43" s="19"/>
      <c r="R43" s="19"/>
      <c r="S43" s="19"/>
      <c r="T43" s="19"/>
      <c r="U43" s="19"/>
      <c r="V43" s="19"/>
      <c r="W43" s="19"/>
    </row>
    <row r="44" spans="1:23">
      <c r="A44" s="42" t="s">
        <v>31</v>
      </c>
      <c r="B44" s="21">
        <v>195933.07272357887</v>
      </c>
      <c r="C44" s="22">
        <v>1750559.0586342283</v>
      </c>
      <c r="D44" s="22">
        <v>6765584.9155050982</v>
      </c>
      <c r="E44" s="22">
        <v>2225851.0801906358</v>
      </c>
      <c r="F44" s="22">
        <v>2291773.8744702493</v>
      </c>
      <c r="G44" s="22">
        <v>4067442.7635131646</v>
      </c>
      <c r="H44" s="22">
        <v>979120.22628345923</v>
      </c>
      <c r="I44" s="22">
        <v>3965408.9771270882</v>
      </c>
      <c r="J44" s="22">
        <v>1235720.0159135445</v>
      </c>
      <c r="K44" s="22">
        <v>4334069.9490677901</v>
      </c>
      <c r="L44" s="22">
        <v>7029587.0321306381</v>
      </c>
      <c r="M44" s="37">
        <f t="shared" si="4"/>
        <v>7220448.0344405174</v>
      </c>
      <c r="N44" s="24">
        <v>42061499</v>
      </c>
      <c r="O44" s="22">
        <v>30800296.445</v>
      </c>
      <c r="P44" s="25">
        <v>36637061.156585</v>
      </c>
      <c r="Q44" s="19"/>
      <c r="R44" s="19"/>
      <c r="S44" s="19"/>
      <c r="T44" s="19"/>
      <c r="U44" s="19"/>
      <c r="V44" s="19"/>
      <c r="W44" s="19"/>
    </row>
    <row r="45" spans="1:23">
      <c r="A45" s="42" t="s">
        <v>32</v>
      </c>
      <c r="B45" s="21">
        <v>23539555.835820004</v>
      </c>
      <c r="C45" s="22">
        <v>7319448.4459694698</v>
      </c>
      <c r="D45" s="22">
        <v>11549739.519964194</v>
      </c>
      <c r="E45" s="22">
        <v>14021367.458031667</v>
      </c>
      <c r="F45" s="22">
        <v>10638607.697535928</v>
      </c>
      <c r="G45" s="22">
        <v>14007509.074581882</v>
      </c>
      <c r="H45" s="22">
        <v>9314998.5293305889</v>
      </c>
      <c r="I45" s="22">
        <v>9983669.6473391447</v>
      </c>
      <c r="J45" s="22">
        <v>7817446.8094726736</v>
      </c>
      <c r="K45" s="22">
        <v>23701440.702793881</v>
      </c>
      <c r="L45" s="22">
        <v>9446918.63384418</v>
      </c>
      <c r="M45" s="37">
        <f t="shared" si="4"/>
        <v>7634297.6453163922</v>
      </c>
      <c r="N45" s="24">
        <f>124943000+25916000-1884000</f>
        <v>148975000</v>
      </c>
      <c r="O45" s="22">
        <f>160145000-2426000</f>
        <v>157719000</v>
      </c>
      <c r="P45" s="25">
        <f>168255000-2556000</f>
        <v>165699000</v>
      </c>
      <c r="Q45" s="19"/>
      <c r="R45" s="19"/>
      <c r="S45" s="19"/>
      <c r="T45" s="19"/>
      <c r="U45" s="19"/>
      <c r="V45" s="19"/>
      <c r="W45" s="19"/>
    </row>
    <row r="46" spans="1:23">
      <c r="A46" s="28" t="s">
        <v>22</v>
      </c>
      <c r="B46" s="29">
        <f t="shared" ref="B46:O46" si="5">SUM(B36:B45)</f>
        <v>98539470.216121584</v>
      </c>
      <c r="C46" s="30">
        <f t="shared" si="5"/>
        <v>75142732.767626882</v>
      </c>
      <c r="D46" s="30">
        <f t="shared" si="5"/>
        <v>85598190.938880816</v>
      </c>
      <c r="E46" s="30">
        <f t="shared" si="5"/>
        <v>72052380.77482143</v>
      </c>
      <c r="F46" s="30">
        <f t="shared" si="5"/>
        <v>67746307.665288672</v>
      </c>
      <c r="G46" s="30">
        <f t="shared" si="5"/>
        <v>81283987.831998929</v>
      </c>
      <c r="H46" s="30">
        <f t="shared" si="5"/>
        <v>64698460.895264901</v>
      </c>
      <c r="I46" s="30">
        <f t="shared" si="5"/>
        <v>64934804.113241501</v>
      </c>
      <c r="J46" s="30">
        <f t="shared" si="5"/>
        <v>63511358.671303384</v>
      </c>
      <c r="K46" s="30">
        <f t="shared" si="5"/>
        <v>77833100.966477767</v>
      </c>
      <c r="L46" s="30">
        <f t="shared" si="5"/>
        <v>66809632.258028306</v>
      </c>
      <c r="M46" s="31">
        <f t="shared" si="5"/>
        <v>71896327.230945826</v>
      </c>
      <c r="N46" s="32">
        <f>SUM(N36:N45)</f>
        <v>890046754.32999992</v>
      </c>
      <c r="O46" s="30">
        <f t="shared" si="5"/>
        <v>926046567.23000014</v>
      </c>
      <c r="P46" s="33">
        <f>SUM(P36:P45)</f>
        <v>979022203.87880003</v>
      </c>
      <c r="Q46" s="19"/>
      <c r="R46" s="19"/>
      <c r="S46" s="19"/>
      <c r="T46" s="19"/>
      <c r="U46" s="19"/>
      <c r="V46" s="19"/>
      <c r="W46" s="19"/>
    </row>
    <row r="47" spans="1:23">
      <c r="A47" s="34"/>
      <c r="B47" s="35"/>
      <c r="C47" s="36"/>
      <c r="D47" s="36"/>
      <c r="E47" s="36"/>
      <c r="F47" s="36"/>
      <c r="G47" s="36"/>
      <c r="H47" s="36"/>
      <c r="I47" s="36"/>
      <c r="J47" s="36"/>
      <c r="K47" s="36"/>
      <c r="L47" s="36"/>
      <c r="M47" s="37"/>
      <c r="N47" s="38"/>
      <c r="O47" s="36"/>
      <c r="P47" s="39"/>
      <c r="Q47" s="19"/>
      <c r="R47" s="19"/>
      <c r="S47" s="19"/>
      <c r="T47" s="19"/>
      <c r="U47" s="19"/>
      <c r="V47" s="19"/>
      <c r="W47" s="19"/>
    </row>
    <row r="48" spans="1:23">
      <c r="A48" s="28" t="s">
        <v>33</v>
      </c>
      <c r="B48" s="35"/>
      <c r="C48" s="36"/>
      <c r="D48" s="36"/>
      <c r="E48" s="36"/>
      <c r="F48" s="36"/>
      <c r="G48" s="36"/>
      <c r="H48" s="36"/>
      <c r="I48" s="36"/>
      <c r="J48" s="36"/>
      <c r="K48" s="36"/>
      <c r="L48" s="36"/>
      <c r="M48" s="37"/>
      <c r="N48" s="38"/>
      <c r="O48" s="36"/>
      <c r="P48" s="39"/>
      <c r="Q48" s="19"/>
      <c r="R48" s="19"/>
      <c r="S48" s="19"/>
      <c r="T48" s="19"/>
      <c r="U48" s="19"/>
      <c r="V48" s="19"/>
      <c r="W48" s="19"/>
    </row>
    <row r="49" spans="1:23">
      <c r="A49" s="42" t="str">
        <f>'[1]A7-CFlow'!A26</f>
        <v>Capital assets</v>
      </c>
      <c r="B49" s="21">
        <v>2107605.3860065434</v>
      </c>
      <c r="C49" s="22">
        <v>3259428.2690586792</v>
      </c>
      <c r="D49" s="22">
        <v>6692512.8155484973</v>
      </c>
      <c r="E49" s="22">
        <v>4742057.8116617594</v>
      </c>
      <c r="F49" s="22">
        <v>7327310.1431555329</v>
      </c>
      <c r="G49" s="22">
        <v>15982877.815015813</v>
      </c>
      <c r="H49" s="22">
        <v>9505246.2889106441</v>
      </c>
      <c r="I49" s="22">
        <v>18354027.158815578</v>
      </c>
      <c r="J49" s="22">
        <v>16997707.603017949</v>
      </c>
      <c r="K49" s="22">
        <v>14365403.840059277</v>
      </c>
      <c r="L49" s="22">
        <v>13476813.170967568</v>
      </c>
      <c r="M49" s="37">
        <f>N49-SUM(B49:L49)</f>
        <v>10003478.697782144</v>
      </c>
      <c r="N49" s="24">
        <f>122743506+70963</f>
        <v>122814469</v>
      </c>
      <c r="O49" s="22">
        <f>104220521+56770</f>
        <v>104277291</v>
      </c>
      <c r="P49" s="25">
        <f>91683209+45416</f>
        <v>91728625</v>
      </c>
      <c r="Q49" s="19"/>
      <c r="R49" s="19"/>
      <c r="S49" s="19"/>
      <c r="T49" s="19"/>
      <c r="U49" s="19"/>
      <c r="V49" s="19"/>
      <c r="W49" s="19"/>
    </row>
    <row r="50" spans="1:23">
      <c r="A50" s="42" t="str">
        <f>'[1]A7-CFlow'!A35</f>
        <v>Repayment of borrowing</v>
      </c>
      <c r="B50" s="21">
        <v>102514</v>
      </c>
      <c r="C50" s="22">
        <v>103102</v>
      </c>
      <c r="D50" s="22">
        <v>110602</v>
      </c>
      <c r="E50" s="22">
        <v>104327</v>
      </c>
      <c r="F50" s="22">
        <v>111853</v>
      </c>
      <c r="G50" s="22">
        <v>5893307</v>
      </c>
      <c r="H50" s="22">
        <v>106171</v>
      </c>
      <c r="I50" s="22">
        <v>127267</v>
      </c>
      <c r="J50" s="22">
        <v>107391</v>
      </c>
      <c r="K50" s="22">
        <v>114950</v>
      </c>
      <c r="L50" s="22">
        <v>108784</v>
      </c>
      <c r="M50" s="37">
        <f>N50-SUM(B50:L50)</f>
        <v>7562394</v>
      </c>
      <c r="N50" s="24">
        <v>14552662</v>
      </c>
      <c r="O50" s="22">
        <v>16927940</v>
      </c>
      <c r="P50" s="25">
        <v>17640931</v>
      </c>
      <c r="Q50" s="19"/>
      <c r="R50" s="19"/>
      <c r="S50" s="19"/>
      <c r="T50" s="19"/>
      <c r="U50" s="19"/>
      <c r="V50" s="19"/>
      <c r="W50" s="19"/>
    </row>
    <row r="51" spans="1:23">
      <c r="A51" s="42" t="str">
        <f>LEFT(A48,25)</f>
        <v>Other Cash Flows/Payments</v>
      </c>
      <c r="B51" s="21"/>
      <c r="C51" s="22"/>
      <c r="D51" s="22"/>
      <c r="E51" s="22"/>
      <c r="F51" s="22"/>
      <c r="G51" s="22"/>
      <c r="H51" s="22"/>
      <c r="I51" s="22"/>
      <c r="J51" s="22"/>
      <c r="K51" s="22"/>
      <c r="L51" s="22"/>
      <c r="M51" s="37">
        <f>N51-SUM(B51:L51)</f>
        <v>0</v>
      </c>
      <c r="N51" s="24"/>
      <c r="O51" s="22"/>
      <c r="P51" s="25"/>
      <c r="Q51" s="19"/>
      <c r="R51" s="19"/>
      <c r="S51" s="19"/>
      <c r="T51" s="19"/>
      <c r="U51" s="19"/>
      <c r="V51" s="19"/>
      <c r="W51" s="19"/>
    </row>
    <row r="52" spans="1:23">
      <c r="A52" s="43" t="s">
        <v>34</v>
      </c>
      <c r="B52" s="44">
        <f>SUM(B46:B51)</f>
        <v>100749589.60212813</v>
      </c>
      <c r="C52" s="45">
        <f t="shared" ref="C52:P52" si="6">SUM(C46:C51)</f>
        <v>78505263.036685556</v>
      </c>
      <c r="D52" s="45">
        <f t="shared" si="6"/>
        <v>92401305.754429311</v>
      </c>
      <c r="E52" s="45">
        <f t="shared" si="6"/>
        <v>76898765.586483195</v>
      </c>
      <c r="F52" s="45">
        <f t="shared" si="6"/>
        <v>75185470.808444202</v>
      </c>
      <c r="G52" s="45">
        <f t="shared" si="6"/>
        <v>103160172.64701474</v>
      </c>
      <c r="H52" s="45">
        <f t="shared" si="6"/>
        <v>74309878.184175551</v>
      </c>
      <c r="I52" s="45">
        <f t="shared" si="6"/>
        <v>83416098.272057086</v>
      </c>
      <c r="J52" s="45">
        <f t="shared" si="6"/>
        <v>80616457.274321333</v>
      </c>
      <c r="K52" s="45">
        <f t="shared" si="6"/>
        <v>92313454.806537047</v>
      </c>
      <c r="L52" s="45">
        <f t="shared" si="6"/>
        <v>80395229.428995878</v>
      </c>
      <c r="M52" s="46">
        <f t="shared" si="6"/>
        <v>89462199.92872797</v>
      </c>
      <c r="N52" s="47">
        <f t="shared" si="6"/>
        <v>1027413885.3299999</v>
      </c>
      <c r="O52" s="45">
        <f t="shared" si="6"/>
        <v>1047251798.2300001</v>
      </c>
      <c r="P52" s="48">
        <f t="shared" si="6"/>
        <v>1088391759.8787999</v>
      </c>
      <c r="Q52" s="19"/>
      <c r="R52" s="53" t="s">
        <v>35</v>
      </c>
      <c r="S52" s="19"/>
      <c r="T52" s="19"/>
      <c r="U52" s="19"/>
      <c r="V52" s="19"/>
      <c r="W52" s="19"/>
    </row>
    <row r="53" spans="1:23">
      <c r="A53" s="34"/>
      <c r="B53" s="35"/>
      <c r="C53" s="36"/>
      <c r="D53" s="36"/>
      <c r="E53" s="36"/>
      <c r="F53" s="36"/>
      <c r="G53" s="36"/>
      <c r="H53" s="36"/>
      <c r="I53" s="36"/>
      <c r="J53" s="36"/>
      <c r="K53" s="36"/>
      <c r="L53" s="36"/>
      <c r="M53" s="37"/>
      <c r="N53" s="38"/>
      <c r="O53" s="36"/>
      <c r="P53" s="39"/>
      <c r="Q53" s="19"/>
      <c r="R53" s="19"/>
      <c r="S53" s="19"/>
      <c r="T53" s="19"/>
      <c r="U53" s="19"/>
      <c r="V53" s="19"/>
      <c r="W53" s="19"/>
    </row>
    <row r="54" spans="1:23" s="64" customFormat="1" ht="13.5" thickBot="1">
      <c r="A54" s="54" t="s">
        <v>36</v>
      </c>
      <c r="B54" s="55">
        <f t="shared" ref="B54:P54" si="7">B33-B52</f>
        <v>93075851.854220852</v>
      </c>
      <c r="C54" s="56">
        <f t="shared" si="7"/>
        <v>-33376568.554341748</v>
      </c>
      <c r="D54" s="56">
        <f t="shared" si="7"/>
        <v>-41063090.860194333</v>
      </c>
      <c r="E54" s="56">
        <f t="shared" si="7"/>
        <v>-25780351.836282834</v>
      </c>
      <c r="F54" s="56">
        <f t="shared" si="7"/>
        <v>109339930.88787302</v>
      </c>
      <c r="G54" s="56">
        <f t="shared" si="7"/>
        <v>-59009399.56541308</v>
      </c>
      <c r="H54" s="56">
        <f t="shared" si="7"/>
        <v>-28177805.904871114</v>
      </c>
      <c r="I54" s="56">
        <f t="shared" si="7"/>
        <v>-28832457.751210682</v>
      </c>
      <c r="J54" s="56">
        <f t="shared" si="7"/>
        <v>80670851.822421655</v>
      </c>
      <c r="K54" s="56">
        <f t="shared" si="7"/>
        <v>-49282151.457892492</v>
      </c>
      <c r="L54" s="56">
        <f t="shared" si="7"/>
        <v>-28071372.35540466</v>
      </c>
      <c r="M54" s="57">
        <f t="shared" si="7"/>
        <v>-150378.00890463591</v>
      </c>
      <c r="N54" s="58">
        <f t="shared" si="7"/>
        <v>-10656941.730000019</v>
      </c>
      <c r="O54" s="56">
        <f t="shared" si="7"/>
        <v>-886122.93700015545</v>
      </c>
      <c r="P54" s="59">
        <f t="shared" si="7"/>
        <v>915306.84272909164</v>
      </c>
      <c r="Q54" s="60"/>
      <c r="R54" s="61"/>
      <c r="S54" s="62"/>
      <c r="T54" s="63"/>
      <c r="U54" s="63"/>
      <c r="V54" s="63"/>
      <c r="W54" s="63"/>
    </row>
    <row r="55" spans="1:23">
      <c r="A55" s="34" t="s">
        <v>37</v>
      </c>
      <c r="B55" s="65">
        <v>23000000</v>
      </c>
      <c r="C55" s="66">
        <f>B56</f>
        <v>116075851.85422085</v>
      </c>
      <c r="D55" s="66">
        <f t="shared" ref="D55:M55" si="8">C56</f>
        <v>82699283.299879104</v>
      </c>
      <c r="E55" s="66">
        <f t="shared" si="8"/>
        <v>41636192.439684771</v>
      </c>
      <c r="F55" s="66">
        <f t="shared" si="8"/>
        <v>15855840.603401937</v>
      </c>
      <c r="G55" s="66">
        <f t="shared" si="8"/>
        <v>125195771.49127495</v>
      </c>
      <c r="H55" s="66">
        <f t="shared" si="8"/>
        <v>66186371.925861873</v>
      </c>
      <c r="I55" s="66">
        <f t="shared" si="8"/>
        <v>38008566.020990759</v>
      </c>
      <c r="J55" s="66">
        <f t="shared" si="8"/>
        <v>9176108.269780077</v>
      </c>
      <c r="K55" s="66">
        <f t="shared" si="8"/>
        <v>89846960.09220174</v>
      </c>
      <c r="L55" s="66">
        <f t="shared" si="8"/>
        <v>40564808.634309247</v>
      </c>
      <c r="M55" s="67">
        <f t="shared" si="8"/>
        <v>12493436.278904587</v>
      </c>
      <c r="N55" s="68">
        <f>B55</f>
        <v>23000000</v>
      </c>
      <c r="O55" s="66">
        <f>N56</f>
        <v>12343058.269999981</v>
      </c>
      <c r="P55" s="69">
        <f>O56</f>
        <v>11456935.332999825</v>
      </c>
      <c r="Q55" s="19"/>
      <c r="R55" s="19"/>
      <c r="S55" s="19"/>
      <c r="T55" s="19"/>
      <c r="U55" s="19"/>
      <c r="V55" s="19"/>
      <c r="W55" s="19"/>
    </row>
    <row r="56" spans="1:23">
      <c r="A56" s="70" t="s">
        <v>38</v>
      </c>
      <c r="B56" s="71">
        <f>B55+B54</f>
        <v>116075851.85422085</v>
      </c>
      <c r="C56" s="72">
        <f>C55+C54</f>
        <v>82699283.299879104</v>
      </c>
      <c r="D56" s="72">
        <f t="shared" ref="D56:P56" si="9">D55+D54</f>
        <v>41636192.439684771</v>
      </c>
      <c r="E56" s="72">
        <f t="shared" si="9"/>
        <v>15855840.603401937</v>
      </c>
      <c r="F56" s="72">
        <f t="shared" si="9"/>
        <v>125195771.49127495</v>
      </c>
      <c r="G56" s="72">
        <f t="shared" si="9"/>
        <v>66186371.925861873</v>
      </c>
      <c r="H56" s="72">
        <f t="shared" si="9"/>
        <v>38008566.020990759</v>
      </c>
      <c r="I56" s="72">
        <f t="shared" si="9"/>
        <v>9176108.269780077</v>
      </c>
      <c r="J56" s="72">
        <f t="shared" si="9"/>
        <v>89846960.09220174</v>
      </c>
      <c r="K56" s="72">
        <f t="shared" si="9"/>
        <v>40564808.634309247</v>
      </c>
      <c r="L56" s="72">
        <f t="shared" si="9"/>
        <v>12493436.278904587</v>
      </c>
      <c r="M56" s="73">
        <f t="shared" si="9"/>
        <v>12343058.269999951</v>
      </c>
      <c r="N56" s="74">
        <f t="shared" si="9"/>
        <v>12343058.269999981</v>
      </c>
      <c r="O56" s="72">
        <f t="shared" si="9"/>
        <v>11456935.332999825</v>
      </c>
      <c r="P56" s="75">
        <f t="shared" si="9"/>
        <v>12372242.175728917</v>
      </c>
      <c r="Q56" s="19"/>
      <c r="R56" s="19"/>
      <c r="S56" s="19"/>
      <c r="T56" s="19"/>
      <c r="U56" s="19"/>
      <c r="V56" s="19"/>
      <c r="W56" s="19"/>
    </row>
    <row r="57" spans="1:23">
      <c r="A57" s="76" t="str">
        <f>head27a</f>
        <v>References</v>
      </c>
      <c r="B57" s="19"/>
      <c r="C57" s="19"/>
      <c r="D57" s="19"/>
      <c r="E57" s="19"/>
      <c r="F57" s="19"/>
      <c r="G57" s="19"/>
      <c r="H57" s="19"/>
      <c r="I57" s="19"/>
      <c r="J57" s="19"/>
      <c r="K57" s="19"/>
      <c r="L57" s="19"/>
      <c r="M57" s="19"/>
      <c r="N57" s="19"/>
      <c r="O57" s="19"/>
      <c r="P57" s="19"/>
      <c r="Q57" s="19"/>
      <c r="R57" s="19"/>
      <c r="S57" s="19"/>
      <c r="T57" s="19"/>
      <c r="U57" s="19"/>
      <c r="V57" s="19"/>
      <c r="W57" s="19"/>
    </row>
    <row r="58" spans="1:23">
      <c r="A58" s="77" t="s">
        <v>39</v>
      </c>
      <c r="B58" s="77"/>
      <c r="C58" s="77"/>
      <c r="D58" s="77"/>
      <c r="E58" s="77"/>
      <c r="F58" s="77"/>
      <c r="G58" s="77"/>
      <c r="H58" s="77"/>
      <c r="I58" s="77"/>
      <c r="J58" s="77"/>
      <c r="K58" s="77"/>
      <c r="L58" s="77"/>
      <c r="M58" s="77"/>
      <c r="N58" s="77"/>
      <c r="O58" s="77"/>
      <c r="P58" s="77"/>
      <c r="Q58" s="19"/>
      <c r="R58" s="19"/>
      <c r="S58" s="19"/>
      <c r="T58" s="19"/>
      <c r="U58" s="19"/>
      <c r="V58" s="19"/>
      <c r="W58" s="19"/>
    </row>
    <row r="59" spans="1:23">
      <c r="A59" s="19"/>
      <c r="B59" s="19"/>
      <c r="C59" s="19"/>
      <c r="D59" s="19"/>
      <c r="E59" s="19"/>
      <c r="F59" s="19"/>
      <c r="G59" s="19"/>
      <c r="H59" s="19"/>
      <c r="I59" s="19"/>
      <c r="J59" s="19"/>
      <c r="K59" s="19"/>
      <c r="L59" s="19"/>
      <c r="M59" s="19"/>
      <c r="N59" s="19"/>
      <c r="O59" s="19"/>
      <c r="P59" s="19"/>
      <c r="Q59" s="19"/>
      <c r="R59" s="19"/>
      <c r="S59" s="19"/>
      <c r="T59" s="19"/>
      <c r="U59" s="19"/>
      <c r="V59" s="19"/>
      <c r="W59" s="19"/>
    </row>
    <row r="60" spans="1:23">
      <c r="A60" s="19"/>
      <c r="B60" s="19"/>
      <c r="C60" s="19"/>
      <c r="D60" s="19"/>
      <c r="E60" s="19"/>
      <c r="F60" s="19"/>
      <c r="G60" s="19"/>
      <c r="H60" s="19"/>
      <c r="I60" s="19"/>
      <c r="J60" s="19"/>
      <c r="K60" s="19"/>
      <c r="L60" s="19"/>
      <c r="M60" s="19"/>
      <c r="N60" s="19"/>
      <c r="O60" s="19"/>
      <c r="P60" s="19"/>
      <c r="Q60" s="19"/>
      <c r="R60" s="19"/>
      <c r="S60" s="19"/>
      <c r="T60" s="19"/>
      <c r="U60" s="19"/>
      <c r="V60" s="19"/>
      <c r="W60" s="19"/>
    </row>
    <row r="61" spans="1:23">
      <c r="A61" s="19"/>
      <c r="B61" s="19"/>
      <c r="C61" s="19"/>
      <c r="D61" s="19"/>
      <c r="E61" s="19"/>
      <c r="F61" s="19"/>
      <c r="G61" s="19"/>
      <c r="H61" s="19"/>
      <c r="I61" s="19"/>
      <c r="J61" s="19"/>
      <c r="K61" s="19"/>
      <c r="L61" s="19"/>
      <c r="M61" s="19"/>
      <c r="N61" s="19"/>
      <c r="O61" s="19"/>
      <c r="P61" s="19"/>
      <c r="Q61" s="19"/>
      <c r="R61" s="19"/>
      <c r="S61" s="19"/>
      <c r="T61" s="19"/>
      <c r="U61" s="19"/>
      <c r="V61" s="19"/>
      <c r="W61" s="19"/>
    </row>
    <row r="62" spans="1:23">
      <c r="A62" s="19"/>
      <c r="B62" s="19"/>
      <c r="C62" s="19"/>
      <c r="D62" s="19"/>
      <c r="E62" s="78"/>
      <c r="F62" s="78"/>
      <c r="G62" s="78"/>
      <c r="H62" s="78"/>
      <c r="I62" s="78"/>
      <c r="J62" s="78"/>
      <c r="K62" s="78"/>
      <c r="L62" s="78"/>
      <c r="M62" s="78"/>
      <c r="N62" s="19"/>
      <c r="O62" s="19"/>
      <c r="P62" s="19"/>
      <c r="Q62" s="19"/>
      <c r="R62" s="19"/>
      <c r="S62" s="19"/>
      <c r="T62" s="19"/>
      <c r="U62" s="19"/>
      <c r="V62" s="19"/>
      <c r="W62" s="19"/>
    </row>
    <row r="63" spans="1:23">
      <c r="A63" s="19"/>
      <c r="B63" s="19"/>
      <c r="C63" s="19"/>
      <c r="D63" s="19"/>
      <c r="E63" s="52">
        <f t="shared" ref="E63:P63" si="10">E46+E62</f>
        <v>72052380.77482143</v>
      </c>
      <c r="F63" s="52">
        <f t="shared" si="10"/>
        <v>67746307.665288672</v>
      </c>
      <c r="G63" s="52">
        <f t="shared" si="10"/>
        <v>81283987.831998929</v>
      </c>
      <c r="H63" s="52">
        <f t="shared" si="10"/>
        <v>64698460.895264901</v>
      </c>
      <c r="I63" s="52">
        <f t="shared" si="10"/>
        <v>64934804.113241501</v>
      </c>
      <c r="J63" s="52">
        <f t="shared" si="10"/>
        <v>63511358.671303384</v>
      </c>
      <c r="K63" s="52">
        <f t="shared" si="10"/>
        <v>77833100.966477767</v>
      </c>
      <c r="L63" s="52">
        <f t="shared" si="10"/>
        <v>66809632.258028306</v>
      </c>
      <c r="M63" s="52">
        <f t="shared" si="10"/>
        <v>71896327.230945826</v>
      </c>
      <c r="N63" s="52">
        <f t="shared" si="10"/>
        <v>890046754.32999992</v>
      </c>
      <c r="O63" s="52">
        <f t="shared" si="10"/>
        <v>926046567.23000014</v>
      </c>
      <c r="P63" s="52">
        <f t="shared" si="10"/>
        <v>979022203.87880003</v>
      </c>
      <c r="Q63" s="19"/>
      <c r="R63" s="19"/>
      <c r="S63" s="19"/>
      <c r="T63" s="19"/>
      <c r="U63" s="19"/>
      <c r="V63" s="19"/>
      <c r="W63" s="19"/>
    </row>
    <row r="64" spans="1:23">
      <c r="A64" s="19"/>
      <c r="B64" s="19"/>
      <c r="C64" s="19"/>
      <c r="D64" s="19"/>
      <c r="E64" s="52">
        <f t="shared" ref="E64:P64" si="11">E54-E62</f>
        <v>-25780351.836282834</v>
      </c>
      <c r="F64" s="52">
        <f t="shared" si="11"/>
        <v>109339930.88787302</v>
      </c>
      <c r="G64" s="52">
        <f t="shared" si="11"/>
        <v>-59009399.56541308</v>
      </c>
      <c r="H64" s="52">
        <f t="shared" si="11"/>
        <v>-28177805.904871114</v>
      </c>
      <c r="I64" s="52">
        <f t="shared" si="11"/>
        <v>-28832457.751210682</v>
      </c>
      <c r="J64" s="52">
        <f t="shared" si="11"/>
        <v>80670851.822421655</v>
      </c>
      <c r="K64" s="52">
        <f t="shared" si="11"/>
        <v>-49282151.457892492</v>
      </c>
      <c r="L64" s="52">
        <f t="shared" si="11"/>
        <v>-28071372.35540466</v>
      </c>
      <c r="M64" s="52">
        <f t="shared" si="11"/>
        <v>-150378.00890463591</v>
      </c>
      <c r="N64" s="52">
        <f t="shared" si="11"/>
        <v>-10656941.730000019</v>
      </c>
      <c r="O64" s="52">
        <f t="shared" si="11"/>
        <v>-886122.93700015545</v>
      </c>
      <c r="P64" s="52">
        <f t="shared" si="11"/>
        <v>915306.84272909164</v>
      </c>
      <c r="Q64" s="19"/>
      <c r="R64" s="19"/>
      <c r="S64" s="19"/>
      <c r="T64" s="19"/>
      <c r="U64" s="19"/>
      <c r="V64" s="19"/>
      <c r="W64" s="19"/>
    </row>
    <row r="65" spans="1:23">
      <c r="A65" s="19"/>
      <c r="B65" s="19"/>
      <c r="C65" s="19"/>
      <c r="D65" s="19"/>
      <c r="E65" s="19"/>
      <c r="F65" s="19"/>
      <c r="G65" s="19"/>
      <c r="H65" s="19"/>
      <c r="I65" s="19"/>
      <c r="J65" s="19"/>
      <c r="K65" s="19"/>
      <c r="L65" s="19"/>
      <c r="M65" s="19"/>
      <c r="N65" s="19"/>
      <c r="O65" s="19"/>
      <c r="P65" s="19"/>
      <c r="Q65" s="19"/>
      <c r="R65" s="19"/>
      <c r="S65" s="19"/>
      <c r="T65" s="19"/>
      <c r="U65" s="19"/>
      <c r="V65" s="19"/>
      <c r="W65" s="19"/>
    </row>
    <row r="66" spans="1:23">
      <c r="A66" s="19"/>
      <c r="B66" s="19"/>
      <c r="C66" s="19"/>
      <c r="D66" s="19"/>
      <c r="E66" s="19"/>
      <c r="F66" s="19"/>
      <c r="G66" s="19"/>
      <c r="H66" s="19"/>
      <c r="I66" s="19"/>
      <c r="J66" s="19"/>
      <c r="K66" s="19"/>
      <c r="L66" s="19"/>
      <c r="M66" s="19"/>
      <c r="N66" s="19"/>
      <c r="O66" s="19"/>
      <c r="P66" s="19"/>
      <c r="Q66" s="19"/>
      <c r="R66" s="19"/>
      <c r="S66" s="19"/>
      <c r="T66" s="19"/>
      <c r="U66" s="19"/>
      <c r="V66" s="19"/>
      <c r="W66" s="19"/>
    </row>
    <row r="67" spans="1:23">
      <c r="A67" s="19"/>
      <c r="B67" s="19"/>
      <c r="C67" s="19"/>
      <c r="D67" s="19"/>
      <c r="E67" s="19"/>
      <c r="F67" s="19"/>
      <c r="G67" s="19"/>
      <c r="H67" s="19"/>
      <c r="I67" s="19"/>
      <c r="J67" s="19"/>
      <c r="K67" s="19"/>
      <c r="L67" s="19"/>
      <c r="M67" s="19"/>
      <c r="N67" s="19"/>
      <c r="O67" s="19"/>
      <c r="P67" s="19"/>
      <c r="Q67" s="19"/>
      <c r="R67" s="19"/>
      <c r="S67" s="19"/>
      <c r="T67" s="19"/>
      <c r="U67" s="19"/>
      <c r="V67" s="19"/>
      <c r="W67" s="19"/>
    </row>
    <row r="68" spans="1:23">
      <c r="A68" s="19"/>
      <c r="B68" s="19"/>
      <c r="C68" s="19"/>
      <c r="D68" s="19"/>
      <c r="E68" s="19"/>
      <c r="F68" s="19"/>
      <c r="G68" s="19"/>
      <c r="H68" s="19"/>
      <c r="I68" s="19"/>
      <c r="J68" s="19"/>
      <c r="K68" s="19"/>
      <c r="L68" s="19"/>
      <c r="M68" s="19"/>
      <c r="N68" s="19"/>
      <c r="O68" s="19"/>
      <c r="P68" s="19"/>
      <c r="Q68" s="19"/>
      <c r="R68" s="19"/>
      <c r="S68" s="19"/>
      <c r="T68" s="19"/>
      <c r="U68" s="19"/>
      <c r="V68" s="19"/>
      <c r="W68" s="19"/>
    </row>
    <row r="69" spans="1:23">
      <c r="A69" s="19"/>
      <c r="B69" s="19"/>
      <c r="C69" s="19"/>
      <c r="D69" s="19"/>
      <c r="E69" s="19"/>
      <c r="F69" s="19"/>
      <c r="G69" s="19"/>
      <c r="H69" s="19"/>
      <c r="I69" s="19"/>
      <c r="J69" s="19"/>
      <c r="K69" s="19"/>
      <c r="L69" s="19"/>
      <c r="M69" s="19"/>
      <c r="N69" s="19"/>
      <c r="O69" s="19"/>
      <c r="P69" s="19"/>
      <c r="Q69" s="19"/>
      <c r="R69" s="19"/>
      <c r="S69" s="19"/>
      <c r="T69" s="19"/>
      <c r="U69" s="19"/>
      <c r="V69" s="19"/>
      <c r="W69" s="19"/>
    </row>
    <row r="189" spans="2:44">
      <c r="B189" s="79"/>
      <c r="C189" s="79"/>
      <c r="D189" s="79"/>
      <c r="E189" s="79"/>
      <c r="F189" s="79"/>
      <c r="G189" s="79"/>
      <c r="H189" s="79"/>
      <c r="I189" s="79"/>
      <c r="J189" s="79"/>
      <c r="K189" s="79"/>
      <c r="L189" s="79"/>
      <c r="N189" s="80"/>
      <c r="O189" s="80"/>
      <c r="P189" s="80"/>
      <c r="Q189" s="80"/>
      <c r="R189" s="80"/>
      <c r="S189" s="80"/>
      <c r="AH189" s="80"/>
      <c r="AI189" s="80"/>
      <c r="AJ189" s="80"/>
      <c r="AK189" s="80"/>
      <c r="AL189" s="80"/>
      <c r="AM189" s="80"/>
      <c r="AN189" s="80"/>
      <c r="AO189" s="80"/>
      <c r="AP189" s="80"/>
      <c r="AQ189" s="80"/>
      <c r="AR189" s="80"/>
    </row>
    <row r="190" spans="2:44">
      <c r="N190" s="80"/>
      <c r="O190" s="80"/>
      <c r="P190" s="80"/>
      <c r="Q190" s="80"/>
      <c r="R190" s="80"/>
      <c r="S190" s="80"/>
      <c r="AH190" s="80"/>
      <c r="AI190" s="80"/>
      <c r="AJ190" s="80"/>
      <c r="AK190" s="80"/>
      <c r="AL190" s="80"/>
      <c r="AM190" s="80"/>
      <c r="AN190" s="80"/>
      <c r="AO190" s="80"/>
      <c r="AP190" s="80"/>
      <c r="AQ190" s="80"/>
      <c r="AR190" s="80"/>
    </row>
    <row r="191" spans="2:44">
      <c r="N191" s="80"/>
      <c r="O191" s="80"/>
      <c r="P191" s="80"/>
      <c r="Q191" s="80"/>
      <c r="R191" s="80"/>
      <c r="S191" s="80"/>
      <c r="AH191" s="80"/>
      <c r="AI191" s="80"/>
      <c r="AJ191" s="80"/>
      <c r="AK191" s="80"/>
      <c r="AL191" s="80"/>
      <c r="AM191" s="80"/>
      <c r="AN191" s="80"/>
      <c r="AO191" s="80"/>
      <c r="AP191" s="80"/>
      <c r="AQ191" s="80"/>
      <c r="AR191" s="80"/>
    </row>
  </sheetData>
  <mergeCells count="3">
    <mergeCell ref="B2:M2"/>
    <mergeCell ref="N2:P2"/>
    <mergeCell ref="A58:P5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JohanB</dc:creator>
  <cp:lastModifiedBy>JohanB</cp:lastModifiedBy>
  <dcterms:created xsi:type="dcterms:W3CDTF">2015-03-31T06:13:55Z</dcterms:created>
  <dcterms:modified xsi:type="dcterms:W3CDTF">2015-03-31T06:15:28Z</dcterms:modified>
</cp:coreProperties>
</file>